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ate1904="1" showInkAnnotation="0" codeName="ThisWorkbook" autoCompressPictures="0"/>
  <bookViews>
    <workbookView xWindow="-120" yWindow="-120" windowWidth="29040" windowHeight="15840" tabRatio="903" activeTab="5"/>
  </bookViews>
  <sheets>
    <sheet name="INFO" sheetId="33" r:id="rId1"/>
    <sheet name="saisie" sheetId="39" r:id="rId2"/>
    <sheet name="M Q" sheetId="21" r:id="rId3"/>
    <sheet name="Clb Q" sheetId="22" r:id="rId4"/>
    <sheet name="P.F." sheetId="38" r:id="rId5"/>
    <sheet name="PALMARES" sheetId="37" r:id="rId6"/>
  </sheets>
  <definedNames>
    <definedName name="_xlnm.Print_Area" localSheetId="3">'Clb Q'!$B$1:$T$26</definedName>
    <definedName name="_xlnm.Print_Area" localSheetId="0">INFO!$A$1:$C$19</definedName>
    <definedName name="_xlnm.Print_Area" localSheetId="2">'M Q'!$A$1:$T$44</definedName>
    <definedName name="_xlnm.Print_Area" localSheetId="4">P.F.!$A$1:$T$104</definedName>
    <definedName name="_xlnm.Print_Area" localSheetId="5">PALMARES!$A$1:$H$46</definedName>
    <definedName name="_xlnm.Print_Area" localSheetId="1">saisie!$A$1:$U$44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6" i="39"/>
  <c r="M6"/>
  <c r="H6"/>
  <c r="R7"/>
  <c r="M7"/>
  <c r="H7"/>
  <c r="R8"/>
  <c r="M8"/>
  <c r="H8"/>
  <c r="R9"/>
  <c r="M9"/>
  <c r="H9"/>
  <c r="R10"/>
  <c r="M10"/>
  <c r="H10"/>
  <c r="R11"/>
  <c r="M11"/>
  <c r="H11"/>
  <c r="R12"/>
  <c r="M12"/>
  <c r="H12"/>
  <c r="W12"/>
  <c r="R13"/>
  <c r="M13"/>
  <c r="H13"/>
  <c r="R14"/>
  <c r="M14"/>
  <c r="H14"/>
  <c r="W14"/>
  <c r="R15"/>
  <c r="M15"/>
  <c r="T15"/>
  <c r="H15"/>
  <c r="R16"/>
  <c r="M16"/>
  <c r="T16"/>
  <c r="H16"/>
  <c r="R17"/>
  <c r="M17"/>
  <c r="H17"/>
  <c r="R18"/>
  <c r="M18"/>
  <c r="H18"/>
  <c r="R19"/>
  <c r="M19"/>
  <c r="H19"/>
  <c r="R20"/>
  <c r="M20"/>
  <c r="H20"/>
  <c r="W20"/>
  <c r="R21"/>
  <c r="M21"/>
  <c r="H21"/>
  <c r="R22"/>
  <c r="M22"/>
  <c r="H22"/>
  <c r="W22"/>
  <c r="R23"/>
  <c r="M23"/>
  <c r="H23"/>
  <c r="R24"/>
  <c r="M24"/>
  <c r="H24"/>
  <c r="R25"/>
  <c r="M25"/>
  <c r="H25"/>
  <c r="R26"/>
  <c r="M26"/>
  <c r="W26"/>
  <c r="H26"/>
  <c r="R27"/>
  <c r="M27"/>
  <c r="H27"/>
  <c r="W27"/>
  <c r="R28"/>
  <c r="M28"/>
  <c r="W28"/>
  <c r="H28"/>
  <c r="T28"/>
  <c r="R29"/>
  <c r="M29"/>
  <c r="H29"/>
  <c r="R30"/>
  <c r="M30"/>
  <c r="H30"/>
  <c r="R31"/>
  <c r="M31"/>
  <c r="H31"/>
  <c r="R32"/>
  <c r="M32"/>
  <c r="H32"/>
  <c r="W32"/>
  <c r="R33"/>
  <c r="M33"/>
  <c r="H33"/>
  <c r="R34"/>
  <c r="M34"/>
  <c r="T34"/>
  <c r="H34"/>
  <c r="R35"/>
  <c r="M35"/>
  <c r="H35"/>
  <c r="R36"/>
  <c r="W36"/>
  <c r="M36"/>
  <c r="H36"/>
  <c r="R37"/>
  <c r="M37"/>
  <c r="H37"/>
  <c r="R38"/>
  <c r="M38"/>
  <c r="H38"/>
  <c r="R39"/>
  <c r="M39"/>
  <c r="H39"/>
  <c r="R40"/>
  <c r="M40"/>
  <c r="H40"/>
  <c r="T40"/>
  <c r="R41"/>
  <c r="M41"/>
  <c r="T41"/>
  <c r="H41"/>
  <c r="R42"/>
  <c r="M42"/>
  <c r="W42"/>
  <c r="H42"/>
  <c r="R43"/>
  <c r="M43"/>
  <c r="H43"/>
  <c r="W43"/>
  <c r="R44"/>
  <c r="M44"/>
  <c r="H44"/>
  <c r="R5"/>
  <c r="M5"/>
  <c r="H5"/>
  <c r="A1"/>
  <c r="A9" i="37"/>
  <c r="A16" i="21"/>
  <c r="K8" i="38"/>
  <c r="K9"/>
  <c r="K10"/>
  <c r="K11"/>
  <c r="K12"/>
  <c r="L8"/>
  <c r="A9" i="21"/>
  <c r="A17"/>
  <c r="K18" i="38"/>
  <c r="K19"/>
  <c r="K20"/>
  <c r="K21"/>
  <c r="K22"/>
  <c r="L18"/>
  <c r="A60"/>
  <c r="A61"/>
  <c r="A62"/>
  <c r="B60"/>
  <c r="A63"/>
  <c r="A64"/>
  <c r="J60"/>
  <c r="J61"/>
  <c r="J62"/>
  <c r="J63"/>
  <c r="J64"/>
  <c r="A71"/>
  <c r="A72"/>
  <c r="A73"/>
  <c r="A74"/>
  <c r="A75"/>
  <c r="A76"/>
  <c r="A77"/>
  <c r="J71"/>
  <c r="J72"/>
  <c r="J73"/>
  <c r="J74"/>
  <c r="J75"/>
  <c r="J76"/>
  <c r="J77"/>
  <c r="F84"/>
  <c r="F85"/>
  <c r="F86"/>
  <c r="F87"/>
  <c r="F88"/>
  <c r="F89"/>
  <c r="F90"/>
  <c r="U5" i="39"/>
  <c r="U6"/>
  <c r="U7"/>
  <c r="U8"/>
  <c r="U9"/>
  <c r="U10"/>
  <c r="U11"/>
  <c r="T12"/>
  <c r="U12"/>
  <c r="U13"/>
  <c r="T14"/>
  <c r="U14"/>
  <c r="U15"/>
  <c r="U16"/>
  <c r="U17"/>
  <c r="T18"/>
  <c r="U18"/>
  <c r="U19"/>
  <c r="U20"/>
  <c r="U21"/>
  <c r="U22"/>
  <c r="U23"/>
  <c r="U24"/>
  <c r="U25"/>
  <c r="T26"/>
  <c r="U26"/>
  <c r="U27"/>
  <c r="U28"/>
  <c r="U29"/>
  <c r="T30"/>
  <c r="U30"/>
  <c r="U31"/>
  <c r="T32"/>
  <c r="U32"/>
  <c r="U33"/>
  <c r="U34"/>
  <c r="U35"/>
  <c r="U36"/>
  <c r="U37"/>
  <c r="U38"/>
  <c r="U39"/>
  <c r="U40"/>
  <c r="U41"/>
  <c r="U42"/>
  <c r="U43"/>
  <c r="T44"/>
  <c r="U44"/>
  <c r="L16" i="37"/>
  <c r="J16"/>
  <c r="J18" i="38"/>
  <c r="J19"/>
  <c r="J20"/>
  <c r="J21"/>
  <c r="J22"/>
  <c r="H18"/>
  <c r="A19"/>
  <c r="A20"/>
  <c r="A18"/>
  <c r="A21"/>
  <c r="A22"/>
  <c r="B18"/>
  <c r="A12" i="21"/>
  <c r="A13"/>
  <c r="L17" i="37"/>
  <c r="K17"/>
  <c r="T18" i="38"/>
  <c r="T19"/>
  <c r="T20"/>
  <c r="T21"/>
  <c r="T22"/>
  <c r="R18"/>
  <c r="A8" i="21"/>
  <c r="L18" i="37"/>
  <c r="J18"/>
  <c r="A29" i="38"/>
  <c r="A30"/>
  <c r="A31"/>
  <c r="A32"/>
  <c r="A33"/>
  <c r="B29"/>
  <c r="J29"/>
  <c r="J30"/>
  <c r="J31"/>
  <c r="J32"/>
  <c r="J33"/>
  <c r="H29"/>
  <c r="A7" i="21"/>
  <c r="A18"/>
  <c r="L19" i="37"/>
  <c r="J19"/>
  <c r="K29" i="38"/>
  <c r="K30"/>
  <c r="K31"/>
  <c r="K32"/>
  <c r="K33"/>
  <c r="L29"/>
  <c r="A14" i="21"/>
  <c r="L20" i="37"/>
  <c r="J20"/>
  <c r="J40" i="38"/>
  <c r="J41"/>
  <c r="J42"/>
  <c r="J43"/>
  <c r="J44"/>
  <c r="H40"/>
  <c r="A41"/>
  <c r="A42"/>
  <c r="A40"/>
  <c r="A43"/>
  <c r="A44"/>
  <c r="B40"/>
  <c r="A15" i="21"/>
  <c r="L21" i="37"/>
  <c r="J21"/>
  <c r="T40" i="38"/>
  <c r="T41"/>
  <c r="T42"/>
  <c r="T43"/>
  <c r="T44"/>
  <c r="R40"/>
  <c r="A6" i="21"/>
  <c r="A19"/>
  <c r="K42" i="38"/>
  <c r="K41"/>
  <c r="L40"/>
  <c r="L22" i="37"/>
  <c r="J22"/>
  <c r="A8" i="38"/>
  <c r="A9"/>
  <c r="A10"/>
  <c r="A11"/>
  <c r="A12"/>
  <c r="B8"/>
  <c r="A20" i="21"/>
  <c r="L15" i="37"/>
  <c r="M15"/>
  <c r="T60" i="38"/>
  <c r="T61"/>
  <c r="T62"/>
  <c r="T63"/>
  <c r="T64"/>
  <c r="K61"/>
  <c r="K62"/>
  <c r="K60"/>
  <c r="K63"/>
  <c r="K64"/>
  <c r="K40"/>
  <c r="K43"/>
  <c r="K44"/>
  <c r="A11" i="21"/>
  <c r="A10"/>
  <c r="K50" i="38"/>
  <c r="K51"/>
  <c r="K52"/>
  <c r="K53"/>
  <c r="K54"/>
  <c r="A50"/>
  <c r="A51"/>
  <c r="A52"/>
  <c r="A53"/>
  <c r="A54"/>
  <c r="B50"/>
  <c r="L11" i="37"/>
  <c r="K11"/>
  <c r="A11"/>
  <c r="T50" i="38"/>
  <c r="T51"/>
  <c r="T52"/>
  <c r="T53"/>
  <c r="T54"/>
  <c r="T8"/>
  <c r="T9"/>
  <c r="T10"/>
  <c r="T11"/>
  <c r="T12"/>
  <c r="R8"/>
  <c r="J8"/>
  <c r="J9"/>
  <c r="J10"/>
  <c r="J11"/>
  <c r="J12"/>
  <c r="H8"/>
  <c r="A12" i="37"/>
  <c r="A13"/>
  <c r="A14"/>
  <c r="B14"/>
  <c r="A15"/>
  <c r="A16"/>
  <c r="A17"/>
  <c r="A18"/>
  <c r="A19"/>
  <c r="A20"/>
  <c r="A21"/>
  <c r="E21"/>
  <c r="A22"/>
  <c r="A24"/>
  <c r="A22" i="21"/>
  <c r="A25" i="37"/>
  <c r="A23" i="21"/>
  <c r="A26" i="37"/>
  <c r="A24" i="21"/>
  <c r="A27" i="37"/>
  <c r="E27"/>
  <c r="A25" i="21"/>
  <c r="A28" i="37"/>
  <c r="F28"/>
  <c r="A26" i="21"/>
  <c r="A29" i="37"/>
  <c r="F29"/>
  <c r="A27" i="21"/>
  <c r="A30" i="37"/>
  <c r="D30"/>
  <c r="A28" i="21"/>
  <c r="A31" i="37"/>
  <c r="F31"/>
  <c r="A29" i="21"/>
  <c r="A32" i="37"/>
  <c r="D32"/>
  <c r="A30" i="21"/>
  <c r="A33" i="37"/>
  <c r="F33"/>
  <c r="A31" i="21"/>
  <c r="A34" i="37"/>
  <c r="E34"/>
  <c r="A32" i="21"/>
  <c r="A35" i="37"/>
  <c r="B35"/>
  <c r="A33" i="21"/>
  <c r="A36" i="37"/>
  <c r="F36"/>
  <c r="A34" i="21"/>
  <c r="A37" i="37"/>
  <c r="E37"/>
  <c r="A35" i="21"/>
  <c r="A38" i="37"/>
  <c r="F38"/>
  <c r="A36" i="21"/>
  <c r="A39" i="37"/>
  <c r="F39"/>
  <c r="A37" i="21"/>
  <c r="A40" i="37"/>
  <c r="D40"/>
  <c r="A38" i="21"/>
  <c r="A41" i="37"/>
  <c r="F41"/>
  <c r="A39" i="21"/>
  <c r="A42" i="37"/>
  <c r="F42"/>
  <c r="A40" i="21"/>
  <c r="A43" i="37"/>
  <c r="B43"/>
  <c r="A41" i="21"/>
  <c r="A44" i="37"/>
  <c r="F44"/>
  <c r="A42" i="21"/>
  <c r="A45" i="37"/>
  <c r="B45"/>
  <c r="A43" i="21"/>
  <c r="A46" i="37"/>
  <c r="E46"/>
  <c r="A44" i="21"/>
  <c r="D27" i="37"/>
  <c r="B32"/>
  <c r="A23"/>
  <c r="A21" i="21"/>
  <c r="A8" i="37"/>
  <c r="K71" i="38"/>
  <c r="K72"/>
  <c r="K73"/>
  <c r="K74"/>
  <c r="K75"/>
  <c r="K76"/>
  <c r="K77"/>
  <c r="T71"/>
  <c r="T72"/>
  <c r="T73"/>
  <c r="T74"/>
  <c r="T75"/>
  <c r="T76"/>
  <c r="T77"/>
  <c r="F98"/>
  <c r="F99"/>
  <c r="F100"/>
  <c r="F101"/>
  <c r="F102"/>
  <c r="F103"/>
  <c r="F104"/>
  <c r="O98"/>
  <c r="O99"/>
  <c r="O100"/>
  <c r="O101"/>
  <c r="O102"/>
  <c r="O103"/>
  <c r="M98"/>
  <c r="O104"/>
  <c r="J50"/>
  <c r="J51"/>
  <c r="J52"/>
  <c r="J53"/>
  <c r="J54"/>
  <c r="H50"/>
  <c r="A10" i="37"/>
  <c r="A4"/>
  <c r="A1"/>
  <c r="Q12" i="22"/>
  <c r="L37" i="38"/>
  <c r="S18" i="22"/>
  <c r="L18"/>
  <c r="B37" i="38"/>
  <c r="N8" i="22"/>
  <c r="A2" i="21"/>
  <c r="B1" i="22"/>
  <c r="G4"/>
  <c r="G10"/>
  <c r="B16"/>
  <c r="G16"/>
  <c r="B22"/>
  <c r="G22"/>
  <c r="A1" i="38"/>
  <c r="T29"/>
  <c r="T30"/>
  <c r="T31"/>
  <c r="T32"/>
  <c r="T33"/>
  <c r="R29"/>
  <c r="O84"/>
  <c r="O85"/>
  <c r="O86"/>
  <c r="O87"/>
  <c r="O88"/>
  <c r="O89"/>
  <c r="O90"/>
  <c r="W33" i="39"/>
  <c r="T31"/>
  <c r="W23"/>
  <c r="W18"/>
  <c r="W38"/>
  <c r="W30"/>
  <c r="W25"/>
  <c r="W17"/>
  <c r="T20"/>
  <c r="T42"/>
  <c r="T27"/>
  <c r="T22"/>
  <c r="W19"/>
  <c r="F40" i="37"/>
  <c r="T37" i="39"/>
  <c r="W34"/>
  <c r="T24"/>
  <c r="W39"/>
  <c r="L60" i="38"/>
  <c r="W44" i="39"/>
  <c r="T21"/>
  <c r="W16"/>
  <c r="B41" i="37"/>
  <c r="B46"/>
  <c r="B39"/>
  <c r="B31"/>
  <c r="D39"/>
  <c r="D35"/>
  <c r="T38" i="39"/>
  <c r="W40"/>
  <c r="W31"/>
  <c r="T29"/>
  <c r="W24"/>
  <c r="W15"/>
  <c r="T13"/>
  <c r="E39" i="37"/>
  <c r="W35" i="39"/>
  <c r="T33"/>
  <c r="T17"/>
  <c r="B37" i="37"/>
  <c r="B33"/>
  <c r="E33"/>
  <c r="T36" i="39"/>
  <c r="W37"/>
  <c r="T35"/>
  <c r="W21"/>
  <c r="T19"/>
  <c r="E29" i="37"/>
  <c r="W41" i="39"/>
  <c r="T39"/>
  <c r="T23"/>
  <c r="T25"/>
  <c r="B42" i="37"/>
  <c r="D37"/>
  <c r="T43" i="39"/>
  <c r="W29"/>
  <c r="W13"/>
  <c r="B29" i="37"/>
  <c r="E42"/>
  <c r="F34"/>
  <c r="D29"/>
  <c r="B30"/>
  <c r="B40"/>
  <c r="D42"/>
  <c r="E40"/>
  <c r="F37"/>
  <c r="D36"/>
  <c r="E32"/>
  <c r="T5" i="39"/>
  <c r="E45" i="37"/>
  <c r="R50" i="38"/>
  <c r="R60"/>
  <c r="E41" i="37"/>
  <c r="T10" i="39"/>
  <c r="B38" i="37"/>
  <c r="D45"/>
  <c r="D34"/>
  <c r="E31"/>
  <c r="D44"/>
  <c r="D31"/>
  <c r="F32"/>
  <c r="B34"/>
  <c r="D43"/>
  <c r="F45"/>
  <c r="H60" i="38"/>
  <c r="G98"/>
  <c r="D28" i="37"/>
  <c r="L50" i="38"/>
  <c r="G84"/>
  <c r="H71"/>
  <c r="B71"/>
  <c r="W5" i="39"/>
  <c r="T8"/>
  <c r="M84" i="38"/>
  <c r="L71"/>
  <c r="R71"/>
  <c r="W9" i="39"/>
  <c r="W10"/>
  <c r="T7"/>
  <c r="W11"/>
  <c r="T6"/>
  <c r="T9"/>
  <c r="W8"/>
  <c r="W7"/>
  <c r="T11"/>
  <c r="W6"/>
  <c r="J17" i="37"/>
  <c r="M16"/>
  <c r="K22"/>
  <c r="J15"/>
  <c r="K15"/>
  <c r="M22"/>
  <c r="K16"/>
  <c r="K21"/>
  <c r="M21"/>
  <c r="M11"/>
  <c r="M20"/>
  <c r="M17"/>
  <c r="K20"/>
  <c r="K19"/>
  <c r="D46"/>
  <c r="D38"/>
  <c r="F46"/>
  <c r="F30"/>
  <c r="B44"/>
  <c r="B36"/>
  <c r="D41"/>
  <c r="D33"/>
  <c r="M19"/>
  <c r="K18"/>
  <c r="E38"/>
  <c r="E30"/>
  <c r="F43"/>
  <c r="F35"/>
  <c r="F27"/>
  <c r="J11"/>
  <c r="B27"/>
  <c r="E43"/>
  <c r="E35"/>
  <c r="B28"/>
  <c r="E44"/>
  <c r="E36"/>
  <c r="E28"/>
  <c r="M18"/>
  <c r="M25" i="22"/>
  <c r="O25"/>
  <c r="D21" i="37"/>
  <c r="F21"/>
  <c r="B21"/>
  <c r="R7" i="22"/>
  <c r="T7"/>
  <c r="F23" i="37"/>
  <c r="E15"/>
  <c r="E17"/>
  <c r="E18"/>
  <c r="E22"/>
  <c r="E20"/>
  <c r="F20"/>
  <c r="E19"/>
  <c r="B19"/>
  <c r="F19"/>
  <c r="D19"/>
  <c r="E16"/>
  <c r="D16"/>
  <c r="F16"/>
  <c r="F14"/>
  <c r="B34" i="39"/>
  <c r="B37"/>
  <c r="B21"/>
  <c r="B35"/>
  <c r="B28"/>
  <c r="B10"/>
  <c r="B17"/>
  <c r="B33"/>
  <c r="B20"/>
  <c r="B18"/>
  <c r="B15"/>
  <c r="B32"/>
  <c r="B22"/>
  <c r="B29"/>
  <c r="B8"/>
  <c r="B14"/>
  <c r="B11"/>
  <c r="B12"/>
  <c r="B9"/>
  <c r="B25"/>
  <c r="B41"/>
  <c r="B6"/>
  <c r="B5"/>
  <c r="B36"/>
  <c r="B30"/>
  <c r="B19"/>
  <c r="B26"/>
  <c r="B40"/>
  <c r="B31"/>
  <c r="B16"/>
  <c r="B13"/>
  <c r="B24"/>
  <c r="B27"/>
  <c r="B43"/>
  <c r="B38"/>
  <c r="B7"/>
  <c r="B23"/>
  <c r="B39"/>
  <c r="B42"/>
  <c r="B44"/>
  <c r="E14" i="37"/>
  <c r="D14"/>
  <c r="M18" i="22"/>
  <c r="O18"/>
  <c r="M6"/>
  <c r="O6"/>
  <c r="R18"/>
  <c r="T18"/>
  <c r="M12"/>
  <c r="O12"/>
  <c r="R8"/>
  <c r="T8"/>
  <c r="R14"/>
  <c r="T14"/>
  <c r="M20"/>
  <c r="O20"/>
  <c r="B20" i="37"/>
  <c r="F22"/>
  <c r="D22"/>
  <c r="B22"/>
  <c r="H8" i="22"/>
  <c r="J8"/>
  <c r="R20"/>
  <c r="T20"/>
  <c r="B16" i="37"/>
  <c r="D20"/>
  <c r="D18"/>
  <c r="F18"/>
  <c r="B18"/>
  <c r="R12" i="22"/>
  <c r="T12"/>
  <c r="M26"/>
  <c r="O26"/>
  <c r="H7"/>
  <c r="J7"/>
  <c r="R26"/>
  <c r="T26"/>
  <c r="M8"/>
  <c r="O8"/>
  <c r="R13"/>
  <c r="T13"/>
  <c r="R25"/>
  <c r="T25"/>
  <c r="M19"/>
  <c r="O19"/>
  <c r="M7"/>
  <c r="O7"/>
  <c r="B15" i="37"/>
  <c r="D15"/>
  <c r="F15"/>
  <c r="D17"/>
  <c r="B17"/>
  <c r="F17"/>
  <c r="M14" i="22"/>
  <c r="O14"/>
  <c r="M13"/>
  <c r="O13"/>
  <c r="R19"/>
  <c r="T19"/>
  <c r="R24"/>
  <c r="T24"/>
  <c r="R6"/>
  <c r="T6"/>
  <c r="M24"/>
  <c r="O24"/>
  <c r="H6"/>
  <c r="J6"/>
  <c r="R6" i="21"/>
  <c r="E5"/>
  <c r="C6" i="22"/>
  <c r="N7" i="21"/>
  <c r="B20" i="22"/>
  <c r="B28" i="38"/>
  <c r="M7" i="21"/>
  <c r="P35"/>
  <c r="F5"/>
  <c r="D6" i="22"/>
  <c r="J36" i="21"/>
  <c r="L36"/>
  <c r="B42"/>
  <c r="K7"/>
  <c r="D19" i="22"/>
  <c r="H22" i="21"/>
  <c r="I38"/>
  <c r="H10"/>
  <c r="C7"/>
  <c r="D16"/>
  <c r="L24" i="22"/>
  <c r="Q5" i="38"/>
  <c r="D30" i="21"/>
  <c r="T28"/>
  <c r="E36"/>
  <c r="G36"/>
  <c r="I5"/>
  <c r="B7" i="22"/>
  <c r="B6" i="38"/>
  <c r="K8" i="21"/>
  <c r="D25" i="22"/>
  <c r="F18" i="21"/>
  <c r="F14"/>
  <c r="N12" i="22"/>
  <c r="H15" i="21"/>
  <c r="P41"/>
  <c r="N43"/>
  <c r="H36"/>
  <c r="H19"/>
  <c r="M30"/>
  <c r="I20"/>
  <c r="Q7" i="22"/>
  <c r="G6" i="38"/>
  <c r="M42" i="21"/>
  <c r="H18"/>
  <c r="B31"/>
  <c r="E42"/>
  <c r="G42"/>
  <c r="E12"/>
  <c r="G12"/>
  <c r="J40"/>
  <c r="L40"/>
  <c r="K13"/>
  <c r="N7" i="22"/>
  <c r="R39" i="21"/>
  <c r="N26"/>
  <c r="R30"/>
  <c r="B12"/>
  <c r="H4" i="22"/>
  <c r="G14" i="38"/>
  <c r="I14" i="21"/>
  <c r="L13" i="22"/>
  <c r="Q27" i="38"/>
  <c r="D14" i="21"/>
  <c r="L12" i="22"/>
  <c r="Q26" i="38"/>
  <c r="T40" i="21"/>
  <c r="R12"/>
  <c r="O38"/>
  <c r="Q38"/>
  <c r="E15"/>
  <c r="G15"/>
  <c r="T24"/>
  <c r="F26" i="37"/>
  <c r="N28" i="21"/>
  <c r="C9"/>
  <c r="R38"/>
  <c r="O9"/>
  <c r="H26" i="22"/>
  <c r="D24" i="21"/>
  <c r="O12"/>
  <c r="Q12"/>
  <c r="H27"/>
  <c r="K5"/>
  <c r="D7" i="22"/>
  <c r="O10" i="21"/>
  <c r="H20" i="22"/>
  <c r="O11" i="21"/>
  <c r="H14" i="22"/>
  <c r="N27" i="21"/>
  <c r="N12"/>
  <c r="G8" i="22"/>
  <c r="G17" i="38"/>
  <c r="N13" i="21"/>
  <c r="L8" i="22"/>
  <c r="B17" i="38"/>
  <c r="C25" i="21"/>
  <c r="N5"/>
  <c r="B8" i="22"/>
  <c r="B7" i="38"/>
  <c r="H5" i="21"/>
  <c r="K38"/>
  <c r="R8"/>
  <c r="I29"/>
  <c r="E9"/>
  <c r="M35"/>
  <c r="O40"/>
  <c r="Q40"/>
  <c r="B17"/>
  <c r="R22" i="22"/>
  <c r="L14" i="38"/>
  <c r="T23" i="21"/>
  <c r="F25" i="37"/>
  <c r="P37" i="21"/>
  <c r="M24"/>
  <c r="C29"/>
  <c r="D27"/>
  <c r="E41"/>
  <c r="G41"/>
  <c r="M15"/>
  <c r="I22"/>
  <c r="C13"/>
  <c r="C33"/>
  <c r="I35"/>
  <c r="C24"/>
  <c r="D26" i="37"/>
  <c r="J34" i="21"/>
  <c r="L34"/>
  <c r="T38"/>
  <c r="O29"/>
  <c r="Q29"/>
  <c r="D11"/>
  <c r="G12" i="22"/>
  <c r="L26" i="38"/>
  <c r="R11" i="21"/>
  <c r="F34"/>
  <c r="P26"/>
  <c r="F20"/>
  <c r="S6" i="22"/>
  <c r="N15" i="21"/>
  <c r="L20" i="22"/>
  <c r="B39" i="38"/>
  <c r="C20" i="21"/>
  <c r="H33"/>
  <c r="E7"/>
  <c r="K43"/>
  <c r="T21"/>
  <c r="N22"/>
  <c r="J28"/>
  <c r="L28"/>
  <c r="N32"/>
  <c r="I37"/>
  <c r="P34"/>
  <c r="O39"/>
  <c r="Q39"/>
  <c r="H31"/>
  <c r="P31"/>
  <c r="N33"/>
  <c r="D7"/>
  <c r="B18" i="22"/>
  <c r="B26" i="38"/>
  <c r="J39" i="21"/>
  <c r="L39"/>
  <c r="C15"/>
  <c r="E38"/>
  <c r="G38"/>
  <c r="T41"/>
  <c r="E31"/>
  <c r="G31"/>
  <c r="P15"/>
  <c r="N20" i="22"/>
  <c r="B37" i="21"/>
  <c r="R15"/>
  <c r="F38"/>
  <c r="M41"/>
  <c r="P20"/>
  <c r="S8" i="22"/>
  <c r="R40" i="21"/>
  <c r="T14"/>
  <c r="I17"/>
  <c r="Q25" i="22"/>
  <c r="L16" i="38"/>
  <c r="O21" i="21"/>
  <c r="Q21"/>
  <c r="H42"/>
  <c r="F11"/>
  <c r="I12" i="22"/>
  <c r="J33" i="21"/>
  <c r="L33"/>
  <c r="O33"/>
  <c r="Q33"/>
  <c r="I41"/>
  <c r="T15"/>
  <c r="J18"/>
  <c r="L18"/>
  <c r="T37"/>
  <c r="F29"/>
  <c r="R41"/>
  <c r="N9"/>
  <c r="G26" i="22"/>
  <c r="L7" i="38"/>
  <c r="I44" i="21"/>
  <c r="K39"/>
  <c r="K16"/>
  <c r="N25" i="22"/>
  <c r="N8" i="21"/>
  <c r="B26" i="22"/>
  <c r="Q17" i="38"/>
  <c r="J20" i="21"/>
  <c r="L20"/>
  <c r="T25"/>
  <c r="B13"/>
  <c r="M4" i="22"/>
  <c r="B14" i="38"/>
  <c r="P19" i="21"/>
  <c r="S14" i="22"/>
  <c r="K41" i="21"/>
  <c r="R13"/>
  <c r="O31"/>
  <c r="Q31"/>
  <c r="J14"/>
  <c r="L14"/>
  <c r="P16"/>
  <c r="N26" i="22"/>
  <c r="T13" i="21"/>
  <c r="K9"/>
  <c r="I25" i="22"/>
  <c r="M29" i="21"/>
  <c r="P27"/>
  <c r="K26"/>
  <c r="O17"/>
  <c r="Q17"/>
  <c r="R20"/>
  <c r="B29"/>
  <c r="K25"/>
  <c r="N25"/>
  <c r="T43"/>
  <c r="D12"/>
  <c r="G6" i="22"/>
  <c r="G15" i="38"/>
  <c r="J27" i="21"/>
  <c r="L27"/>
  <c r="F35"/>
  <c r="J44"/>
  <c r="L44"/>
  <c r="H12"/>
  <c r="H16"/>
  <c r="N30"/>
  <c r="B43"/>
  <c r="P14"/>
  <c r="N14" i="22"/>
  <c r="R24" i="21"/>
  <c r="C8"/>
  <c r="F23"/>
  <c r="T39"/>
  <c r="P23"/>
  <c r="E11"/>
  <c r="H12" i="22"/>
  <c r="J12"/>
  <c r="B38" i="21"/>
  <c r="F16"/>
  <c r="N24" i="22"/>
  <c r="O7" i="21"/>
  <c r="C20" i="22"/>
  <c r="F8" i="21"/>
  <c r="D24" i="22"/>
  <c r="O16" i="21"/>
  <c r="Q16"/>
  <c r="O15"/>
  <c r="Q15"/>
  <c r="B26"/>
  <c r="N34"/>
  <c r="F10"/>
  <c r="I18" i="22"/>
  <c r="K44" i="21"/>
  <c r="O35"/>
  <c r="Q35"/>
  <c r="E40"/>
  <c r="G40"/>
  <c r="H41"/>
  <c r="E32"/>
  <c r="G32"/>
  <c r="K32"/>
  <c r="O37"/>
  <c r="Q37"/>
  <c r="H13"/>
  <c r="I27"/>
  <c r="T18"/>
  <c r="J43"/>
  <c r="L43"/>
  <c r="O42"/>
  <c r="Q42"/>
  <c r="E30"/>
  <c r="G30"/>
  <c r="K18"/>
  <c r="S19" i="22"/>
  <c r="D26" i="21"/>
  <c r="F44"/>
  <c r="B28"/>
  <c r="D21"/>
  <c r="J30"/>
  <c r="L30"/>
  <c r="C10"/>
  <c r="C43"/>
  <c r="J9"/>
  <c r="H25" i="22"/>
  <c r="I18" i="21"/>
  <c r="Q19" i="22"/>
  <c r="G27" i="38"/>
  <c r="H44" i="21"/>
  <c r="F36"/>
  <c r="P18"/>
  <c r="S20" i="22"/>
  <c r="F7" i="21"/>
  <c r="D18" i="22"/>
  <c r="C35" i="21"/>
  <c r="R27"/>
  <c r="N19"/>
  <c r="Q14" i="22"/>
  <c r="L39" i="38"/>
  <c r="C42" i="21"/>
  <c r="O41"/>
  <c r="Q41"/>
  <c r="H30"/>
  <c r="R17"/>
  <c r="P40"/>
  <c r="F13"/>
  <c r="N6" i="22"/>
  <c r="J7" i="21"/>
  <c r="C19" i="22"/>
  <c r="B15" i="21"/>
  <c r="M16" i="22"/>
  <c r="B36" i="38"/>
  <c r="M8" i="21"/>
  <c r="T35"/>
  <c r="D31"/>
  <c r="I10"/>
  <c r="G19" i="22"/>
  <c r="G38" i="38"/>
  <c r="I32" i="21"/>
  <c r="B22"/>
  <c r="B24" i="37"/>
  <c r="M17" i="21"/>
  <c r="R7"/>
  <c r="C38"/>
  <c r="J24"/>
  <c r="L24"/>
  <c r="T22"/>
  <c r="F24" i="37"/>
  <c r="D28" i="21"/>
  <c r="J23"/>
  <c r="L23"/>
  <c r="D36"/>
  <c r="E43"/>
  <c r="G43"/>
  <c r="J10"/>
  <c r="H19" i="22"/>
  <c r="M28" i="21"/>
  <c r="K20"/>
  <c r="S7" i="22"/>
  <c r="B40" i="21"/>
  <c r="N37"/>
  <c r="P32"/>
  <c r="H35"/>
  <c r="K11"/>
  <c r="I13" i="22"/>
  <c r="K17" i="21"/>
  <c r="S25" i="22"/>
  <c r="P11" i="21"/>
  <c r="I14" i="22"/>
  <c r="T20" i="21"/>
  <c r="C36"/>
  <c r="C22"/>
  <c r="D24" i="37"/>
  <c r="N29" i="21"/>
  <c r="D15"/>
  <c r="F9"/>
  <c r="I24" i="22"/>
  <c r="E26" i="21"/>
  <c r="G26"/>
  <c r="E39"/>
  <c r="G39"/>
  <c r="B30"/>
  <c r="K27"/>
  <c r="J32"/>
  <c r="L32"/>
  <c r="R43"/>
  <c r="H32"/>
  <c r="B25"/>
  <c r="D43"/>
  <c r="J42"/>
  <c r="L42"/>
  <c r="R29"/>
  <c r="K40"/>
  <c r="O25"/>
  <c r="Q25"/>
  <c r="R16"/>
  <c r="C17"/>
  <c r="N38"/>
  <c r="T29"/>
  <c r="J16"/>
  <c r="L16"/>
  <c r="K35"/>
  <c r="C32"/>
  <c r="R33"/>
  <c r="M27"/>
  <c r="C31"/>
  <c r="E28"/>
  <c r="G28"/>
  <c r="D10"/>
  <c r="G18" i="22"/>
  <c r="G37" i="38"/>
  <c r="I11" i="21"/>
  <c r="G13" i="22"/>
  <c r="L27" i="38"/>
  <c r="D9" i="21"/>
  <c r="G24" i="22"/>
  <c r="L5" i="38"/>
  <c r="I8" i="21"/>
  <c r="B25" i="22"/>
  <c r="Q16" i="38"/>
  <c r="H24" i="21"/>
  <c r="T16"/>
  <c r="T17"/>
  <c r="O22"/>
  <c r="Q22"/>
  <c r="I40"/>
  <c r="I25"/>
  <c r="K33"/>
  <c r="M31"/>
  <c r="F22"/>
  <c r="R18"/>
  <c r="R36"/>
  <c r="P22"/>
  <c r="N36"/>
  <c r="O43"/>
  <c r="Q43"/>
  <c r="D22"/>
  <c r="N41"/>
  <c r="K12"/>
  <c r="I7" i="22"/>
  <c r="M20" i="21"/>
  <c r="K37"/>
  <c r="K29"/>
  <c r="H34"/>
  <c r="P9"/>
  <c r="I26" i="22"/>
  <c r="D39" i="21"/>
  <c r="C41"/>
  <c r="M13"/>
  <c r="B32"/>
  <c r="C14"/>
  <c r="F39"/>
  <c r="B33"/>
  <c r="T34"/>
  <c r="D37"/>
  <c r="K22"/>
  <c r="O44"/>
  <c r="Q44"/>
  <c r="I9"/>
  <c r="G25" i="22"/>
  <c r="L6" i="38"/>
  <c r="J17" i="21"/>
  <c r="L17"/>
  <c r="R10"/>
  <c r="F32"/>
  <c r="R35"/>
  <c r="B10"/>
  <c r="H16" i="22"/>
  <c r="G36" i="38"/>
  <c r="P24" i="21"/>
  <c r="M21"/>
  <c r="H11"/>
  <c r="J25"/>
  <c r="L25"/>
  <c r="N18"/>
  <c r="Q20" i="22"/>
  <c r="G28" i="38"/>
  <c r="J6" i="21"/>
  <c r="C13" i="22"/>
  <c r="O32" i="21"/>
  <c r="Q32"/>
  <c r="J21"/>
  <c r="L21"/>
  <c r="P38"/>
  <c r="I33"/>
  <c r="T8"/>
  <c r="E29"/>
  <c r="G29"/>
  <c r="D20"/>
  <c r="Q6" i="22"/>
  <c r="G5" i="38"/>
  <c r="M18" i="21"/>
  <c r="H9"/>
  <c r="K23"/>
  <c r="R42"/>
  <c r="B9"/>
  <c r="H22" i="22"/>
  <c r="L4" i="38"/>
  <c r="B24" i="21"/>
  <c r="B26" i="37"/>
  <c r="E18" i="21"/>
  <c r="G18"/>
  <c r="N23"/>
  <c r="C16"/>
  <c r="F37"/>
  <c r="J19"/>
  <c r="L19"/>
  <c r="J8"/>
  <c r="C25" i="22"/>
  <c r="R44" i="21"/>
  <c r="B16"/>
  <c r="M22" i="22"/>
  <c r="Q4" i="38"/>
  <c r="C34" i="21"/>
  <c r="E20"/>
  <c r="G20"/>
  <c r="J38"/>
  <c r="L38"/>
  <c r="P29"/>
  <c r="F40"/>
  <c r="E21"/>
  <c r="G21"/>
  <c r="R25"/>
  <c r="C28"/>
  <c r="C23"/>
  <c r="D25" i="37"/>
  <c r="E14" i="21"/>
  <c r="G14"/>
  <c r="M26"/>
  <c r="B35"/>
  <c r="E34"/>
  <c r="G34"/>
  <c r="P10"/>
  <c r="I20" i="22"/>
  <c r="K42" i="21"/>
  <c r="H23"/>
  <c r="T26"/>
  <c r="M44"/>
  <c r="I42"/>
  <c r="H38"/>
  <c r="B18"/>
  <c r="R16" i="22"/>
  <c r="G25" i="38"/>
  <c r="E23" i="21"/>
  <c r="G23"/>
  <c r="M22"/>
  <c r="H29"/>
  <c r="N21"/>
  <c r="F41"/>
  <c r="J13"/>
  <c r="L13"/>
  <c r="E27"/>
  <c r="G27"/>
  <c r="N20"/>
  <c r="Q8" i="22"/>
  <c r="G7" i="38"/>
  <c r="N44" i="21"/>
  <c r="R9"/>
  <c r="H21"/>
  <c r="D13"/>
  <c r="L6" i="22"/>
  <c r="B15" i="38"/>
  <c r="H40" i="21"/>
  <c r="P17"/>
  <c r="S26" i="22"/>
  <c r="P36" i="21"/>
  <c r="T30"/>
  <c r="N39"/>
  <c r="R22"/>
  <c r="P39"/>
  <c r="B39"/>
  <c r="I19"/>
  <c r="Q13" i="22"/>
  <c r="L38" i="38"/>
  <c r="I13" i="21"/>
  <c r="L7" i="22"/>
  <c r="B16" i="38"/>
  <c r="N14" i="21"/>
  <c r="L14" i="22"/>
  <c r="Q28" i="38"/>
  <c r="N24" i="21"/>
  <c r="C5"/>
  <c r="T36"/>
  <c r="N35"/>
  <c r="J37"/>
  <c r="L37"/>
  <c r="F33"/>
  <c r="I30"/>
  <c r="B19"/>
  <c r="R10" i="22"/>
  <c r="L36" i="38"/>
  <c r="I16" i="21"/>
  <c r="L25" i="22"/>
  <c r="Q6" i="38"/>
  <c r="D6" i="21"/>
  <c r="B12" i="22"/>
  <c r="Q37" i="38"/>
  <c r="H20" i="21"/>
  <c r="H43"/>
  <c r="O14"/>
  <c r="Q14"/>
  <c r="F6"/>
  <c r="D12" i="22"/>
  <c r="T5" i="21"/>
  <c r="K28"/>
  <c r="C6"/>
  <c r="R14"/>
  <c r="P5"/>
  <c r="D8" i="22"/>
  <c r="T6" i="21"/>
  <c r="R5"/>
  <c r="P6"/>
  <c r="D14" i="22"/>
  <c r="O6" i="21"/>
  <c r="H6"/>
  <c r="M6"/>
  <c r="B5"/>
  <c r="C4" i="22"/>
  <c r="B4" i="38"/>
  <c r="E44" i="21"/>
  <c r="G44"/>
  <c r="K6"/>
  <c r="D13" i="22"/>
  <c r="O5" i="21"/>
  <c r="B6"/>
  <c r="C10" i="22"/>
  <c r="Q36" i="38"/>
  <c r="N6" i="21"/>
  <c r="B14" i="22"/>
  <c r="Q39" i="38"/>
  <c r="K21" i="21"/>
  <c r="I6"/>
  <c r="B13" i="22"/>
  <c r="Q38" i="38"/>
  <c r="E6" i="21"/>
  <c r="M5"/>
  <c r="P44"/>
  <c r="O13"/>
  <c r="Q13"/>
  <c r="C19"/>
  <c r="K36"/>
  <c r="C40"/>
  <c r="M38"/>
  <c r="R26"/>
  <c r="P28"/>
  <c r="P25"/>
  <c r="I12"/>
  <c r="G7" i="22"/>
  <c r="G16" i="38"/>
  <c r="M10" i="21"/>
  <c r="F19"/>
  <c r="S12" i="22"/>
  <c r="D17" i="21"/>
  <c r="Q24" i="22"/>
  <c r="L15" i="38"/>
  <c r="C26" i="21"/>
  <c r="M23"/>
  <c r="P12"/>
  <c r="I8" i="22"/>
  <c r="I24" i="21"/>
  <c r="J26"/>
  <c r="L26"/>
  <c r="N10"/>
  <c r="G20" i="22"/>
  <c r="G39" i="38"/>
  <c r="K31" i="21"/>
  <c r="I26"/>
  <c r="P33"/>
  <c r="K15"/>
  <c r="N19" i="22"/>
  <c r="D34" i="21"/>
  <c r="F43"/>
  <c r="R28"/>
  <c r="B36"/>
  <c r="E13"/>
  <c r="G13"/>
  <c r="F21"/>
  <c r="K10"/>
  <c r="I19" i="22"/>
  <c r="O23" i="21"/>
  <c r="Q23"/>
  <c r="I23"/>
  <c r="B27"/>
  <c r="D19"/>
  <c r="H26"/>
  <c r="C37"/>
  <c r="M19"/>
  <c r="B20"/>
  <c r="R4" i="22"/>
  <c r="G4" i="38"/>
  <c r="B41" i="21"/>
  <c r="T27"/>
  <c r="I36"/>
  <c r="B11"/>
  <c r="H10" i="22"/>
  <c r="L25" i="38"/>
  <c r="T33" i="21"/>
  <c r="J29"/>
  <c r="L29"/>
  <c r="C21"/>
  <c r="D23" i="37"/>
  <c r="D23" i="21"/>
  <c r="F15"/>
  <c r="N18" i="22"/>
  <c r="I28" i="21"/>
  <c r="E24"/>
  <c r="G24"/>
  <c r="I34"/>
  <c r="E35"/>
  <c r="G35"/>
  <c r="D35"/>
  <c r="B8"/>
  <c r="C22" i="22"/>
  <c r="Q14" i="38"/>
  <c r="T7" i="21"/>
  <c r="T42"/>
  <c r="N31"/>
  <c r="D38"/>
  <c r="E10"/>
  <c r="B14"/>
  <c r="M10" i="22"/>
  <c r="Q25" i="38"/>
  <c r="R21" i="21"/>
  <c r="M39"/>
  <c r="C27"/>
  <c r="H25"/>
  <c r="J35"/>
  <c r="L35"/>
  <c r="C30"/>
  <c r="O36"/>
  <c r="Q36"/>
  <c r="M16"/>
  <c r="P13"/>
  <c r="N40"/>
  <c r="D25"/>
  <c r="R37"/>
  <c r="T10"/>
  <c r="R23"/>
  <c r="F12"/>
  <c r="I6" i="22"/>
  <c r="M37" i="21"/>
  <c r="O27"/>
  <c r="Q27"/>
  <c r="T9"/>
  <c r="J22"/>
  <c r="L22"/>
  <c r="M40"/>
  <c r="F30"/>
  <c r="T31"/>
  <c r="N42"/>
  <c r="M11"/>
  <c r="K30"/>
  <c r="K19"/>
  <c r="S13" i="22"/>
  <c r="B7" i="21"/>
  <c r="C16" i="22"/>
  <c r="B25" i="38"/>
  <c r="E25" i="21"/>
  <c r="G25"/>
  <c r="J31"/>
  <c r="L31"/>
  <c r="H39"/>
  <c r="R32"/>
  <c r="E33"/>
  <c r="G33"/>
  <c r="E17"/>
  <c r="G17"/>
  <c r="D8"/>
  <c r="B24" i="22"/>
  <c r="Q15" i="38"/>
  <c r="B23" i="21"/>
  <c r="B25" i="37"/>
  <c r="H17" i="21"/>
  <c r="J41"/>
  <c r="L41"/>
  <c r="R34"/>
  <c r="T12"/>
  <c r="D29"/>
  <c r="C39"/>
  <c r="C44"/>
  <c r="D32"/>
  <c r="K34"/>
  <c r="K14"/>
  <c r="N13" i="22"/>
  <c r="M32" i="21"/>
  <c r="O20"/>
  <c r="Q20"/>
  <c r="D5"/>
  <c r="B6" i="22"/>
  <c r="B5" i="38"/>
  <c r="I43" i="21"/>
  <c r="P43"/>
  <c r="B44"/>
  <c r="D18"/>
  <c r="Q18" i="22"/>
  <c r="G26" i="38"/>
  <c r="E16" i="21"/>
  <c r="G16"/>
  <c r="P21"/>
  <c r="I15"/>
  <c r="L19" i="22"/>
  <c r="B38" i="38"/>
  <c r="H7" i="21"/>
  <c r="F27"/>
  <c r="P42"/>
  <c r="M12"/>
  <c r="M34"/>
  <c r="H28"/>
  <c r="K24"/>
  <c r="J15"/>
  <c r="L15"/>
  <c r="E37"/>
  <c r="G37"/>
  <c r="N16"/>
  <c r="L26" i="22"/>
  <c r="Q7" i="38"/>
  <c r="I39" i="21"/>
  <c r="F25"/>
  <c r="M14"/>
  <c r="C18"/>
  <c r="F31"/>
  <c r="N11"/>
  <c r="G14" i="22"/>
  <c r="L28" i="38"/>
  <c r="F26" i="21"/>
  <c r="M36"/>
  <c r="O18"/>
  <c r="Q18"/>
  <c r="P30"/>
  <c r="P7"/>
  <c r="D20" i="22"/>
  <c r="H37" i="21"/>
  <c r="E19"/>
  <c r="G19"/>
  <c r="D44"/>
  <c r="P8"/>
  <c r="D26" i="22"/>
  <c r="F28" i="21"/>
  <c r="R19"/>
  <c r="I21"/>
  <c r="T11"/>
  <c r="O26"/>
  <c r="Q26"/>
  <c r="M43"/>
  <c r="O28"/>
  <c r="Q28"/>
  <c r="H8"/>
  <c r="N17"/>
  <c r="Q26" i="22"/>
  <c r="L17" i="38"/>
  <c r="O8" i="21"/>
  <c r="C26" i="22"/>
  <c r="M33" i="21"/>
  <c r="O30"/>
  <c r="Q30"/>
  <c r="I7"/>
  <c r="B19" i="22"/>
  <c r="B27" i="38"/>
  <c r="T32" i="21"/>
  <c r="D33"/>
  <c r="E22"/>
  <c r="G22"/>
  <c r="B21"/>
  <c r="B23" i="37"/>
  <c r="F17" i="21"/>
  <c r="S24" i="22"/>
  <c r="E8" i="21"/>
  <c r="G8"/>
  <c r="C12"/>
  <c r="D42"/>
  <c r="B34"/>
  <c r="O19"/>
  <c r="Q19"/>
  <c r="F42"/>
  <c r="O24"/>
  <c r="Q24"/>
  <c r="J11"/>
  <c r="H13" i="22"/>
  <c r="F24" i="21"/>
  <c r="R31"/>
  <c r="M25"/>
  <c r="D40"/>
  <c r="I31"/>
  <c r="T19"/>
  <c r="T44"/>
  <c r="H14"/>
  <c r="M9"/>
  <c r="D41"/>
  <c r="C11"/>
  <c r="J12"/>
  <c r="L12"/>
  <c r="O34"/>
  <c r="Q34"/>
  <c r="J5"/>
  <c r="L59" i="38"/>
  <c r="S13" i="21"/>
  <c r="O4" i="22"/>
  <c r="E19"/>
  <c r="Q9" i="21"/>
  <c r="J25" i="22"/>
  <c r="S37" i="21"/>
  <c r="J14" i="22"/>
  <c r="G56" i="38"/>
  <c r="L13" i="37"/>
  <c r="J13" i="22"/>
  <c r="J20"/>
  <c r="J19"/>
  <c r="J26"/>
  <c r="S12" i="21"/>
  <c r="J4" i="22"/>
  <c r="S19" i="21"/>
  <c r="T10" i="22"/>
  <c r="S15" i="21"/>
  <c r="O16" i="22"/>
  <c r="S29" i="21"/>
  <c r="Q11"/>
  <c r="S35"/>
  <c r="E6" i="22"/>
  <c r="L5" i="21"/>
  <c r="B47" i="38"/>
  <c r="S33" i="21"/>
  <c r="S32"/>
  <c r="G5"/>
  <c r="Q56" i="38"/>
  <c r="S41" i="21"/>
  <c r="B58" i="38"/>
  <c r="S36" i="21"/>
  <c r="S42"/>
  <c r="S30"/>
  <c r="G46" i="38"/>
  <c r="L9" i="21"/>
  <c r="S27"/>
  <c r="B48" i="38"/>
  <c r="S38" i="21"/>
  <c r="L8"/>
  <c r="E25" i="22"/>
  <c r="G57" i="38"/>
  <c r="S43" i="21"/>
  <c r="E26" i="22"/>
  <c r="Q47" i="38"/>
  <c r="Q8" i="21"/>
  <c r="S34"/>
  <c r="L11"/>
  <c r="S20"/>
  <c r="T4" i="22"/>
  <c r="C7"/>
  <c r="E7"/>
  <c r="Q10" i="21"/>
  <c r="Q46" i="38"/>
  <c r="S25" i="21"/>
  <c r="S21"/>
  <c r="E23" i="37"/>
  <c r="S18" i="21"/>
  <c r="T16" i="22"/>
  <c r="L6" i="21"/>
  <c r="S14"/>
  <c r="O10" i="22"/>
  <c r="S22" i="21"/>
  <c r="E24" i="37"/>
  <c r="L47" i="38"/>
  <c r="S40" i="21"/>
  <c r="S17"/>
  <c r="T22" i="22"/>
  <c r="L10" i="21"/>
  <c r="B59" i="38"/>
  <c r="S26" i="21"/>
  <c r="S16"/>
  <c r="O22" i="22"/>
  <c r="C12"/>
  <c r="E12"/>
  <c r="G6" i="21"/>
  <c r="G10"/>
  <c r="H18" i="22"/>
  <c r="J18"/>
  <c r="Q57" i="38"/>
  <c r="Q59"/>
  <c r="Q58"/>
  <c r="C18" i="22"/>
  <c r="E18"/>
  <c r="G7" i="21"/>
  <c r="G58" i="38"/>
  <c r="G59"/>
  <c r="S31" i="21"/>
  <c r="B56" i="38"/>
  <c r="L46"/>
  <c r="G47"/>
  <c r="S24" i="21"/>
  <c r="E26" i="37"/>
  <c r="E20" i="22"/>
  <c r="B57" i="38"/>
  <c r="C24" i="22"/>
  <c r="E24"/>
  <c r="G11" i="21"/>
  <c r="S39"/>
  <c r="Q7"/>
  <c r="B46" i="38"/>
  <c r="B49"/>
  <c r="C8" i="22"/>
  <c r="E8"/>
  <c r="Q5" i="21"/>
  <c r="G48" i="38"/>
  <c r="G49"/>
  <c r="G9" i="21"/>
  <c r="H24" i="22"/>
  <c r="J24"/>
  <c r="L58" i="38"/>
  <c r="L57"/>
  <c r="L56"/>
  <c r="L14" i="37"/>
  <c r="Q6" i="21"/>
  <c r="C14" i="22"/>
  <c r="E14"/>
  <c r="Q48" i="38"/>
  <c r="Q49"/>
  <c r="S23" i="21"/>
  <c r="E25" i="37"/>
  <c r="S44" i="21"/>
  <c r="S28"/>
  <c r="L49" i="38"/>
  <c r="L7" i="21"/>
  <c r="L48" i="38"/>
  <c r="E13" i="22"/>
  <c r="L68" i="38"/>
  <c r="L12" i="37"/>
  <c r="J14"/>
  <c r="M14"/>
  <c r="K14"/>
  <c r="L70" i="38"/>
  <c r="J13" i="37"/>
  <c r="K13"/>
  <c r="M13"/>
  <c r="B67" i="38"/>
  <c r="L69"/>
  <c r="L67"/>
  <c r="Q68"/>
  <c r="L81"/>
  <c r="B69"/>
  <c r="S5" i="21"/>
  <c r="E4" i="22"/>
  <c r="B68" i="38"/>
  <c r="S11" i="21"/>
  <c r="J10" i="22"/>
  <c r="S9" i="21"/>
  <c r="J22" i="22"/>
  <c r="S8" i="21"/>
  <c r="E22" i="22"/>
  <c r="B70" i="38"/>
  <c r="S10" i="21"/>
  <c r="J16" i="22"/>
  <c r="Q69" i="38"/>
  <c r="Q70"/>
  <c r="Q67"/>
  <c r="G67"/>
  <c r="G70"/>
  <c r="G69"/>
  <c r="G68"/>
  <c r="S6" i="21"/>
  <c r="E10" i="22"/>
  <c r="S7" i="21"/>
  <c r="E16" i="22"/>
  <c r="J12" i="37"/>
  <c r="M12"/>
  <c r="K12"/>
  <c r="L97" i="38"/>
  <c r="L83"/>
  <c r="L82"/>
  <c r="L96"/>
  <c r="L95"/>
  <c r="L94"/>
  <c r="B8" i="37"/>
  <c r="E8"/>
  <c r="L80" i="38"/>
  <c r="G94"/>
  <c r="B7" i="37"/>
  <c r="G83" i="38"/>
  <c r="G82"/>
  <c r="G97"/>
  <c r="G95"/>
  <c r="G80"/>
  <c r="G81"/>
  <c r="G96"/>
  <c r="B9" i="37"/>
  <c r="D9"/>
  <c r="E13"/>
  <c r="E12"/>
  <c r="E11"/>
  <c r="B10"/>
  <c r="F10"/>
  <c r="F8"/>
  <c r="D8"/>
  <c r="E7"/>
  <c r="F7"/>
  <c r="D7"/>
  <c r="E9"/>
  <c r="F9"/>
  <c r="D11"/>
  <c r="B11"/>
  <c r="F11"/>
  <c r="B12"/>
  <c r="F12"/>
  <c r="D12"/>
  <c r="B13"/>
  <c r="F13"/>
  <c r="D13"/>
  <c r="D10"/>
  <c r="E10"/>
</calcChain>
</file>

<file path=xl/sharedStrings.xml><?xml version="1.0" encoding="utf-8"?>
<sst xmlns="http://schemas.openxmlformats.org/spreadsheetml/2006/main" count="188" uniqueCount="83">
  <si>
    <t>Discipline :</t>
  </si>
  <si>
    <t>1er Match Qualif.</t>
  </si>
  <si>
    <t>2e MQ</t>
  </si>
  <si>
    <t>PROGRAMME DE GESTION 
CHAMPIONNAT DE FRANCE DES CLUBS
ECOLE DE TIR</t>
  </si>
  <si>
    <t>(CARABINE ou PISTOLET)</t>
  </si>
  <si>
    <t>date :</t>
  </si>
  <si>
    <t>DEMI-FINALES</t>
  </si>
  <si>
    <t>CLUB</t>
  </si>
  <si>
    <t>TOTAL</t>
  </si>
  <si>
    <t>Bar.</t>
  </si>
  <si>
    <t>Ce programme n'est pas protégé, je vous conseille d'en créer une copie avant utilisation afin de pallier à de possibles erreurs de manipulation. Pour tout problème lié aux règlements, veuillez consulter le document : mode d'emploi cdfc 10m.pdf.
Pour toute information complémentaire ou modification particulière, contacter :</t>
  </si>
  <si>
    <t>POSTE</t>
  </si>
  <si>
    <t>1/4 FINALES</t>
  </si>
  <si>
    <t>Monsieur Philippe QUENTEL</t>
  </si>
  <si>
    <t>01 58 05 45 32</t>
  </si>
  <si>
    <t>1/4 finalistes sortants</t>
  </si>
  <si>
    <t>PETITE FINALE</t>
  </si>
  <si>
    <t>CLUBS QUALIFIES EN PHASE FINALE</t>
  </si>
  <si>
    <t>remplir en lettres majuscules</t>
  </si>
  <si>
    <t>FINALE</t>
  </si>
  <si>
    <t>n° CLUB</t>
  </si>
  <si>
    <t>PETITE
FINALE</t>
  </si>
  <si>
    <t>1 / 4   FINALES</t>
  </si>
  <si>
    <t>POINTS</t>
  </si>
  <si>
    <t>Nom</t>
  </si>
  <si>
    <t>1/8 FINALES</t>
  </si>
  <si>
    <t>téléphone :</t>
  </si>
  <si>
    <t>adresse électronique :</t>
  </si>
  <si>
    <t>pquentel@fftir.org</t>
  </si>
  <si>
    <t>COMPETITION</t>
  </si>
  <si>
    <t>RESPONSABLE DE LA SAISIE</t>
  </si>
  <si>
    <t>Ligue :</t>
  </si>
  <si>
    <t>NOMS</t>
  </si>
  <si>
    <t>série 1</t>
  </si>
  <si>
    <t>série 2</t>
  </si>
  <si>
    <t>POUSSINS</t>
  </si>
  <si>
    <t>BENJAMINS</t>
  </si>
  <si>
    <t>MINIMES</t>
  </si>
  <si>
    <t>N° club</t>
  </si>
  <si>
    <t>PLACE</t>
  </si>
  <si>
    <t>CLUBS</t>
  </si>
  <si>
    <t>M Q</t>
  </si>
  <si>
    <t>Séries</t>
  </si>
  <si>
    <t>Total</t>
  </si>
  <si>
    <t>Classement
provisoire</t>
  </si>
  <si>
    <t>1/8 FINALES (Suite)</t>
  </si>
  <si>
    <t>lieu :</t>
  </si>
  <si>
    <t>Nombre d'équipe :</t>
  </si>
  <si>
    <t>NOM Prénom :</t>
  </si>
  <si>
    <t>saison :</t>
  </si>
  <si>
    <t>(EN MAJUSCULE)</t>
  </si>
  <si>
    <t>M*</t>
  </si>
  <si>
    <t>16e MQ</t>
  </si>
  <si>
    <t>15e MQ</t>
  </si>
  <si>
    <t>14e MQ</t>
  </si>
  <si>
    <t>13e MQ</t>
  </si>
  <si>
    <t>12e MQ</t>
  </si>
  <si>
    <t>11e MQ</t>
  </si>
  <si>
    <t>10e MQ</t>
  </si>
  <si>
    <t>9e MQ</t>
  </si>
  <si>
    <t>Cl.</t>
  </si>
  <si>
    <t>1 / 8   FINALES</t>
  </si>
  <si>
    <t>1/8 finalistes sortants</t>
  </si>
  <si>
    <t>LIGUE</t>
  </si>
  <si>
    <t>2024/2025</t>
  </si>
  <si>
    <t>CARABINE</t>
  </si>
  <si>
    <t>19.31.086</t>
  </si>
  <si>
    <t>MORANDINI Evan</t>
  </si>
  <si>
    <t>RAOUL Jules</t>
  </si>
  <si>
    <t>EDARD Thibault</t>
  </si>
  <si>
    <t>MONTAUBAN</t>
  </si>
  <si>
    <t>MIDI-PYRENEES</t>
  </si>
  <si>
    <t>PONS Sébastien</t>
  </si>
  <si>
    <t>pons.sebastien31@bbox.fr</t>
  </si>
  <si>
    <t>CT ST-GAUDINOIS</t>
  </si>
  <si>
    <t>38 TSM</t>
  </si>
  <si>
    <t>ESTOR Valentin</t>
  </si>
  <si>
    <t>SAFFON Nathanael</t>
  </si>
  <si>
    <t>SAVOUREY Victoria</t>
  </si>
  <si>
    <t>AST MONTALBANAIS</t>
  </si>
  <si>
    <t>BOUDEROUA Yamine</t>
  </si>
  <si>
    <t>BLANC Lena</t>
  </si>
  <si>
    <t>PECHMEJA Loan</t>
  </si>
</sst>
</file>

<file path=xl/styles.xml><?xml version="1.0" encoding="utf-8"?>
<styleSheet xmlns="http://schemas.openxmlformats.org/spreadsheetml/2006/main">
  <numFmts count="3">
    <numFmt numFmtId="164" formatCode="[$-40C]d\ mmmm\ yyyy;@"/>
    <numFmt numFmtId="165" formatCode="##\.##\.###"/>
    <numFmt numFmtId="166" formatCode="0.000000000000"/>
  </numFmts>
  <fonts count="67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u/>
      <sz val="10"/>
      <color indexed="12"/>
      <name val="Verdana"/>
      <family val="2"/>
    </font>
    <font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24"/>
      <name val="Arial Narrow"/>
      <family val="2"/>
    </font>
    <font>
      <b/>
      <sz val="28"/>
      <name val="Arial Narrow"/>
      <family val="2"/>
    </font>
    <font>
      <b/>
      <sz val="30"/>
      <name val="Arial Narrow"/>
      <family val="2"/>
    </font>
    <font>
      <sz val="30"/>
      <name val="Arial Narrow"/>
      <family val="2"/>
    </font>
    <font>
      <b/>
      <sz val="32"/>
      <name val="Arial Narrow"/>
      <family val="2"/>
    </font>
    <font>
      <sz val="25"/>
      <name val="Arial Black"/>
      <family val="2"/>
    </font>
    <font>
      <sz val="14"/>
      <name val="Arial Narrow"/>
      <family val="2"/>
    </font>
    <font>
      <b/>
      <sz val="40"/>
      <name val="Arial Narrow"/>
      <family val="2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48"/>
      <name val="Arial Black"/>
      <family val="2"/>
    </font>
    <font>
      <b/>
      <sz val="20"/>
      <name val="Arial Narrow"/>
      <family val="2"/>
    </font>
    <font>
      <b/>
      <i/>
      <sz val="14"/>
      <name val="Arial"/>
      <family val="2"/>
    </font>
    <font>
      <sz val="18"/>
      <name val="Arial Narrow"/>
      <family val="2"/>
    </font>
    <font>
      <b/>
      <sz val="18"/>
      <color indexed="9"/>
      <name val="Arial Narrow"/>
      <family val="2"/>
    </font>
    <font>
      <sz val="48"/>
      <color indexed="18"/>
      <name val="Arial Black"/>
      <family val="2"/>
    </font>
    <font>
      <sz val="45"/>
      <color indexed="18"/>
      <name val="Arial Black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8"/>
      <color indexed="55"/>
      <name val="Arial Narrow"/>
      <family val="2"/>
    </font>
    <font>
      <sz val="25"/>
      <color indexed="18"/>
      <name val="Arial Black"/>
      <family val="2"/>
    </font>
    <font>
      <b/>
      <sz val="14"/>
      <color indexed="18"/>
      <name val="Arial Narrow"/>
      <family val="2"/>
    </font>
    <font>
      <b/>
      <sz val="50"/>
      <name val="Arial"/>
      <family val="2"/>
    </font>
    <font>
      <b/>
      <sz val="15"/>
      <name val="Arial"/>
      <family val="2"/>
    </font>
    <font>
      <sz val="10"/>
      <color indexed="9"/>
      <name val="Arial"/>
      <family val="2"/>
    </font>
    <font>
      <b/>
      <sz val="50"/>
      <color indexed="9"/>
      <name val="Arial"/>
      <family val="2"/>
    </font>
    <font>
      <sz val="14"/>
      <name val="Arial"/>
      <family val="2"/>
    </font>
    <font>
      <b/>
      <sz val="14"/>
      <name val="Arial Narrow"/>
      <family val="2"/>
    </font>
    <font>
      <sz val="10"/>
      <color indexed="55"/>
      <name val="Arial Narrow"/>
      <family val="2"/>
    </font>
    <font>
      <sz val="50"/>
      <name val="Arial"/>
      <family val="2"/>
    </font>
    <font>
      <b/>
      <sz val="15"/>
      <color indexed="9"/>
      <name val="Arial"/>
      <family val="2"/>
    </font>
    <font>
      <b/>
      <sz val="15"/>
      <color indexed="23"/>
      <name val="Arial"/>
      <family val="2"/>
    </font>
    <font>
      <sz val="50"/>
      <color indexed="18"/>
      <name val="Arial Black"/>
      <family val="2"/>
    </font>
    <font>
      <b/>
      <sz val="18"/>
      <color indexed="23"/>
      <name val="Arial Narrow"/>
      <family val="2"/>
    </font>
    <font>
      <sz val="14"/>
      <color indexed="23"/>
      <name val="Arial Narrow"/>
      <family val="2"/>
    </font>
    <font>
      <b/>
      <sz val="40"/>
      <name val="Arial"/>
      <family val="2"/>
    </font>
    <font>
      <sz val="50"/>
      <color indexed="55"/>
      <name val="Arial Black"/>
      <family val="2"/>
    </font>
    <font>
      <b/>
      <sz val="15"/>
      <color indexed="23"/>
      <name val="Arial Narrow"/>
      <family val="2"/>
    </font>
    <font>
      <sz val="18"/>
      <color indexed="22"/>
      <name val="Arial Narrow"/>
      <family val="2"/>
    </font>
    <font>
      <sz val="20"/>
      <name val="Arial Black"/>
      <family val="2"/>
    </font>
    <font>
      <sz val="15"/>
      <color indexed="55"/>
      <name val="Arial Narrow"/>
      <family val="2"/>
    </font>
    <font>
      <sz val="18"/>
      <color theme="0" tint="-0.249977111117893"/>
      <name val="Arial Narrow"/>
      <family val="2"/>
    </font>
    <font>
      <b/>
      <sz val="28"/>
      <color theme="0" tint="-0.34998626667073579"/>
      <name val="Arial Narrow"/>
      <family val="2"/>
    </font>
    <font>
      <sz val="16"/>
      <color theme="0" tint="-0.249977111117893"/>
      <name val="Arial Narrow"/>
      <family val="2"/>
    </font>
    <font>
      <b/>
      <sz val="16"/>
      <color theme="0"/>
      <name val="Arial Narrow"/>
      <family val="2"/>
    </font>
    <font>
      <b/>
      <sz val="14"/>
      <color theme="0"/>
      <name val="Arial Narrow"/>
      <family val="2"/>
    </font>
    <font>
      <b/>
      <sz val="30"/>
      <color theme="0"/>
      <name val="Arial Narrow"/>
      <family val="2"/>
    </font>
    <font>
      <b/>
      <sz val="32"/>
      <color theme="0"/>
      <name val="Arial Narrow"/>
      <family val="2"/>
    </font>
    <font>
      <sz val="30"/>
      <color theme="0"/>
      <name val="Arial Narrow"/>
      <family val="2"/>
    </font>
    <font>
      <b/>
      <sz val="50"/>
      <name val="Arial Narrow"/>
      <family val="2"/>
    </font>
    <font>
      <b/>
      <sz val="28"/>
      <color theme="0"/>
      <name val="Arial Narrow"/>
      <family val="2"/>
    </font>
    <font>
      <b/>
      <sz val="16"/>
      <name val="Arial Narrow"/>
      <family val="2"/>
    </font>
    <font>
      <b/>
      <sz val="15"/>
      <name val="Arial Narrow"/>
      <family val="2"/>
    </font>
    <font>
      <b/>
      <sz val="15"/>
      <color theme="0"/>
      <name val="Arial"/>
      <family val="2"/>
    </font>
    <font>
      <u/>
      <sz val="10"/>
      <color theme="11"/>
      <name val="Verdana"/>
      <family val="2"/>
    </font>
    <font>
      <b/>
      <sz val="34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1D400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ck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</cellStyleXfs>
  <cellXfs count="245">
    <xf numFmtId="0" fontId="0" fillId="0" borderId="0" xfId="0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0" xfId="2" applyFont="1" applyAlignment="1">
      <alignment horizontal="right" vertical="center" wrapText="1"/>
    </xf>
    <xf numFmtId="164" fontId="17" fillId="0" borderId="1" xfId="0" applyNumberFormat="1" applyFont="1" applyBorder="1" applyAlignment="1" applyProtection="1">
      <alignment horizontal="left" vertical="center"/>
      <protection locked="0"/>
    </xf>
    <xf numFmtId="0" fontId="20" fillId="0" borderId="0" xfId="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>
      <alignment horizontal="left" vertical="top"/>
    </xf>
    <xf numFmtId="0" fontId="17" fillId="0" borderId="1" xfId="0" applyFont="1" applyBorder="1" applyAlignment="1" applyProtection="1">
      <alignment horizontal="left" vertical="center" indent="1"/>
      <protection locked="0"/>
    </xf>
    <xf numFmtId="164" fontId="17" fillId="0" borderId="2" xfId="0" applyNumberFormat="1" applyFont="1" applyBorder="1" applyAlignment="1" applyProtection="1">
      <alignment horizontal="left" vertical="center" indent="2"/>
      <protection locked="0"/>
    </xf>
    <xf numFmtId="1" fontId="17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1" applyFill="1" applyBorder="1" applyAlignment="1" applyProtection="1">
      <alignment horizontal="left" vertical="center" indent="1"/>
      <protection locked="0"/>
    </xf>
    <xf numFmtId="0" fontId="12" fillId="0" borderId="0" xfId="0" applyFont="1" applyAlignment="1">
      <alignment horizontal="center" vertical="center" wrapText="1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25" fillId="0" borderId="0" xfId="0" quotePrefix="1" applyFont="1" applyAlignment="1" applyProtection="1">
      <alignment horizontal="center" vertical="center" wrapText="1"/>
      <protection locked="0"/>
    </xf>
    <xf numFmtId="16" fontId="25" fillId="0" borderId="0" xfId="0" quotePrefix="1" applyNumberFormat="1" applyFont="1" applyAlignment="1" applyProtection="1">
      <alignment horizontal="center" vertical="center" wrapText="1"/>
      <protection locked="0"/>
    </xf>
    <xf numFmtId="0" fontId="24" fillId="0" borderId="3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0" fillId="0" borderId="0" xfId="0" applyFont="1" applyAlignment="1" applyProtection="1">
      <alignment horizontal="center" vertical="center" textRotation="90" wrapText="1"/>
      <protection locked="0"/>
    </xf>
    <xf numFmtId="0" fontId="31" fillId="0" borderId="0" xfId="0" applyFont="1" applyAlignment="1">
      <alignment horizontal="center" vertical="center" wrapText="1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locked="0"/>
    </xf>
    <xf numFmtId="0" fontId="44" fillId="0" borderId="20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 wrapText="1"/>
      <protection locked="0"/>
    </xf>
    <xf numFmtId="165" fontId="45" fillId="0" borderId="3" xfId="0" applyNumberFormat="1" applyFont="1" applyBorder="1" applyAlignment="1" applyProtection="1">
      <alignment horizontal="center" vertical="center"/>
      <protection locked="0"/>
    </xf>
    <xf numFmtId="1" fontId="52" fillId="0" borderId="3" xfId="0" applyNumberFormat="1" applyFont="1" applyBorder="1" applyAlignment="1" applyProtection="1">
      <alignment horizontal="center" vertical="center"/>
      <protection locked="0"/>
    </xf>
    <xf numFmtId="0" fontId="51" fillId="0" borderId="0" xfId="0" applyFont="1" applyAlignment="1" applyProtection="1">
      <alignment horizontal="center" vertical="center" wrapText="1"/>
      <protection locked="0"/>
    </xf>
    <xf numFmtId="164" fontId="17" fillId="0" borderId="2" xfId="0" applyNumberFormat="1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53" fillId="0" borderId="0" xfId="0" applyFont="1" applyAlignment="1">
      <alignment horizontal="center" vertical="center"/>
    </xf>
    <xf numFmtId="165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65" fontId="9" fillId="0" borderId="28" xfId="0" applyNumberFormat="1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1" fontId="11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1" fontId="11" fillId="0" borderId="28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165" fontId="9" fillId="0" borderId="32" xfId="0" applyNumberFormat="1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1" fontId="11" fillId="0" borderId="32" xfId="0" applyNumberFormat="1" applyFont="1" applyBorder="1" applyAlignment="1" applyProtection="1">
      <alignment horizontal="center" vertical="center"/>
      <protection locked="0"/>
    </xf>
    <xf numFmtId="1" fontId="54" fillId="0" borderId="37" xfId="0" applyNumberFormat="1" applyFont="1" applyBorder="1" applyAlignment="1" applyProtection="1">
      <alignment horizontal="center" vertical="center" wrapText="1"/>
      <protection locked="0"/>
    </xf>
    <xf numFmtId="1" fontId="54" fillId="0" borderId="3" xfId="0" applyNumberFormat="1" applyFont="1" applyBorder="1" applyAlignment="1" applyProtection="1">
      <alignment horizontal="center" vertical="center"/>
      <protection locked="0"/>
    </xf>
    <xf numFmtId="0" fontId="42" fillId="0" borderId="17" xfId="0" applyFont="1" applyBorder="1" applyAlignment="1" applyProtection="1">
      <alignment horizontal="center" vertical="center"/>
      <protection locked="0"/>
    </xf>
    <xf numFmtId="0" fontId="42" fillId="0" borderId="18" xfId="0" applyFont="1" applyBorder="1" applyAlignment="1" applyProtection="1">
      <alignment horizontal="center" vertical="center"/>
      <protection locked="0"/>
    </xf>
    <xf numFmtId="0" fontId="42" fillId="0" borderId="19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165" fontId="9" fillId="3" borderId="23" xfId="0" applyNumberFormat="1" applyFont="1" applyFill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0" fontId="43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19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left" vertical="center" indent="2"/>
    </xf>
    <xf numFmtId="0" fontId="18" fillId="0" borderId="0" xfId="1" applyFont="1" applyFill="1" applyBorder="1" applyAlignment="1" applyProtection="1">
      <alignment horizontal="left" vertical="center" indent="1"/>
    </xf>
    <xf numFmtId="0" fontId="61" fillId="6" borderId="30" xfId="0" applyFont="1" applyFill="1" applyBorder="1" applyAlignment="1">
      <alignment horizontal="center" vertical="center"/>
    </xf>
    <xf numFmtId="0" fontId="61" fillId="6" borderId="24" xfId="0" applyFont="1" applyFill="1" applyBorder="1" applyAlignment="1">
      <alignment horizontal="center" vertical="center"/>
    </xf>
    <xf numFmtId="0" fontId="61" fillId="6" borderId="26" xfId="0" applyFont="1" applyFill="1" applyBorder="1" applyAlignment="1">
      <alignment horizontal="center" vertical="center"/>
    </xf>
    <xf numFmtId="1" fontId="59" fillId="6" borderId="32" xfId="0" applyNumberFormat="1" applyFont="1" applyFill="1" applyBorder="1" applyAlignment="1">
      <alignment horizontal="center" vertical="center"/>
    </xf>
    <xf numFmtId="1" fontId="59" fillId="6" borderId="25" xfId="0" applyNumberFormat="1" applyFont="1" applyFill="1" applyBorder="1" applyAlignment="1">
      <alignment horizontal="center" vertical="center"/>
    </xf>
    <xf numFmtId="1" fontId="59" fillId="6" borderId="28" xfId="0" applyNumberFormat="1" applyFont="1" applyFill="1" applyBorder="1" applyAlignment="1">
      <alignment horizontal="center" vertical="center"/>
    </xf>
    <xf numFmtId="0" fontId="57" fillId="6" borderId="29" xfId="0" applyFont="1" applyFill="1" applyBorder="1" applyAlignment="1">
      <alignment horizontal="center" vertical="center"/>
    </xf>
    <xf numFmtId="0" fontId="57" fillId="6" borderId="26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4" fillId="6" borderId="33" xfId="0" applyFont="1" applyFill="1" applyBorder="1" applyAlignment="1" applyProtection="1">
      <alignment horizontal="center" vertical="center"/>
      <protection locked="0"/>
    </xf>
    <xf numFmtId="0" fontId="64" fillId="6" borderId="34" xfId="0" applyFont="1" applyFill="1" applyBorder="1" applyAlignment="1" applyProtection="1">
      <alignment horizontal="center" vertical="center"/>
      <protection locked="0"/>
    </xf>
    <xf numFmtId="0" fontId="64" fillId="7" borderId="33" xfId="0" applyFont="1" applyFill="1" applyBorder="1" applyAlignment="1" applyProtection="1">
      <alignment horizontal="center" vertical="center"/>
      <protection locked="0"/>
    </xf>
    <xf numFmtId="0" fontId="64" fillId="7" borderId="34" xfId="0" applyFont="1" applyFill="1" applyBorder="1" applyAlignment="1" applyProtection="1">
      <alignment horizontal="center" vertical="center"/>
      <protection locked="0"/>
    </xf>
    <xf numFmtId="0" fontId="64" fillId="8" borderId="35" xfId="0" applyFont="1" applyFill="1" applyBorder="1" applyAlignment="1" applyProtection="1">
      <alignment horizontal="center" vertical="center"/>
      <protection locked="0"/>
    </xf>
    <xf numFmtId="0" fontId="64" fillId="8" borderId="36" xfId="0" applyFont="1" applyFill="1" applyBorder="1" applyAlignment="1" applyProtection="1">
      <alignment horizontal="center" vertical="center"/>
      <protection locked="0"/>
    </xf>
    <xf numFmtId="0" fontId="64" fillId="8" borderId="33" xfId="0" applyFont="1" applyFill="1" applyBorder="1" applyAlignment="1" applyProtection="1">
      <alignment horizontal="center" vertical="center"/>
      <protection locked="0"/>
    </xf>
    <xf numFmtId="0" fontId="64" fillId="8" borderId="34" xfId="0" applyFont="1" applyFill="1" applyBorder="1" applyAlignment="1" applyProtection="1">
      <alignment horizontal="center" vertical="center"/>
      <protection locked="0"/>
    </xf>
    <xf numFmtId="0" fontId="64" fillId="9" borderId="33" xfId="0" applyFont="1" applyFill="1" applyBorder="1" applyAlignment="1" applyProtection="1">
      <alignment horizontal="center" vertical="center"/>
      <protection locked="0"/>
    </xf>
    <xf numFmtId="0" fontId="64" fillId="9" borderId="34" xfId="0" applyFont="1" applyFill="1" applyBorder="1" applyAlignment="1" applyProtection="1">
      <alignment horizontal="center" vertical="center"/>
      <protection locked="0"/>
    </xf>
    <xf numFmtId="0" fontId="34" fillId="10" borderId="35" xfId="0" applyFont="1" applyFill="1" applyBorder="1" applyAlignment="1" applyProtection="1">
      <alignment horizontal="center" vertical="center"/>
      <protection locked="0"/>
    </xf>
    <xf numFmtId="0" fontId="34" fillId="10" borderId="36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0" borderId="31" xfId="0" applyFont="1" applyBorder="1" applyAlignment="1" applyProtection="1">
      <alignment horizontal="center" vertical="center"/>
      <protection locked="0"/>
    </xf>
    <xf numFmtId="0" fontId="58" fillId="6" borderId="31" xfId="0" applyFont="1" applyFill="1" applyBorder="1" applyAlignment="1">
      <alignment horizontal="center" vertical="center"/>
    </xf>
    <xf numFmtId="0" fontId="11" fillId="0" borderId="23" xfId="0" applyFont="1" applyBorder="1" applyAlignment="1" applyProtection="1">
      <alignment horizontal="center" vertical="center"/>
      <protection locked="0"/>
    </xf>
    <xf numFmtId="0" fontId="58" fillId="6" borderId="23" xfId="0" applyFont="1" applyFill="1" applyBorder="1" applyAlignment="1">
      <alignment horizontal="center" vertical="center"/>
    </xf>
    <xf numFmtId="0" fontId="11" fillId="0" borderId="27" xfId="0" applyFont="1" applyBorder="1" applyAlignment="1" applyProtection="1">
      <alignment horizontal="center" vertical="center"/>
      <protection locked="0"/>
    </xf>
    <xf numFmtId="0" fontId="58" fillId="6" borderId="30" xfId="0" applyFont="1" applyFill="1" applyBorder="1" applyAlignment="1">
      <alignment horizontal="center" vertical="center"/>
    </xf>
    <xf numFmtId="0" fontId="58" fillId="6" borderId="24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53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66" fillId="0" borderId="31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49" fillId="0" borderId="3" xfId="0" applyFont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top" indent="5"/>
    </xf>
    <xf numFmtId="0" fontId="29" fillId="5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indent="5"/>
    </xf>
    <xf numFmtId="0" fontId="3" fillId="0" borderId="0" xfId="1" applyFill="1" applyBorder="1" applyAlignment="1" applyProtection="1">
      <alignment horizontal="left" vertical="center" indent="5"/>
    </xf>
    <xf numFmtId="0" fontId="60" fillId="0" borderId="0" xfId="0" applyFont="1" applyAlignment="1">
      <alignment horizontal="center" vertical="center"/>
    </xf>
    <xf numFmtId="0" fontId="60" fillId="0" borderId="52" xfId="0" applyFont="1" applyBorder="1" applyAlignment="1">
      <alignment horizontal="center" vertical="center"/>
    </xf>
    <xf numFmtId="0" fontId="58" fillId="6" borderId="38" xfId="0" applyFont="1" applyFill="1" applyBorder="1" applyAlignment="1">
      <alignment horizontal="center" vertical="center"/>
    </xf>
    <xf numFmtId="0" fontId="58" fillId="6" borderId="29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59" fillId="6" borderId="39" xfId="0" applyFont="1" applyFill="1" applyBorder="1" applyAlignment="1">
      <alignment horizontal="center" vertical="center"/>
    </xf>
    <xf numFmtId="0" fontId="59" fillId="6" borderId="28" xfId="0" applyFont="1" applyFill="1" applyBorder="1" applyAlignment="1">
      <alignment horizontal="center" vertical="center"/>
    </xf>
    <xf numFmtId="0" fontId="61" fillId="6" borderId="38" xfId="0" applyFont="1" applyFill="1" applyBorder="1" applyAlignment="1">
      <alignment horizontal="center" vertical="center" wrapText="1"/>
    </xf>
    <xf numFmtId="0" fontId="61" fillId="6" borderId="27" xfId="0" applyFont="1" applyFill="1" applyBorder="1" applyAlignment="1">
      <alignment horizontal="center" vertical="center"/>
    </xf>
    <xf numFmtId="0" fontId="58" fillId="6" borderId="39" xfId="0" applyFont="1" applyFill="1" applyBorder="1" applyAlignment="1">
      <alignment horizontal="center" vertical="center"/>
    </xf>
    <xf numFmtId="0" fontId="58" fillId="6" borderId="28" xfId="0" applyFont="1" applyFill="1" applyBorder="1" applyAlignment="1">
      <alignment horizontal="center" vertical="center"/>
    </xf>
    <xf numFmtId="0" fontId="58" fillId="6" borderId="27" xfId="0" applyFont="1" applyFill="1" applyBorder="1" applyAlignment="1">
      <alignment horizontal="center" vertical="center"/>
    </xf>
    <xf numFmtId="0" fontId="61" fillId="6" borderId="29" xfId="0" applyFont="1" applyFill="1" applyBorder="1" applyAlignment="1">
      <alignment horizontal="center" vertical="center" wrapText="1"/>
    </xf>
    <xf numFmtId="0" fontId="61" fillId="6" borderId="26" xfId="0" applyFont="1" applyFill="1" applyBorder="1" applyAlignment="1">
      <alignment horizontal="center" vertical="center" wrapText="1"/>
    </xf>
    <xf numFmtId="0" fontId="57" fillId="6" borderId="38" xfId="0" applyFont="1" applyFill="1" applyBorder="1" applyAlignment="1">
      <alignment horizontal="center" vertical="center"/>
    </xf>
    <xf numFmtId="0" fontId="57" fillId="6" borderId="27" xfId="0" applyFont="1" applyFill="1" applyBorder="1" applyAlignment="1">
      <alignment horizontal="center" vertical="center"/>
    </xf>
    <xf numFmtId="0" fontId="57" fillId="6" borderId="39" xfId="0" applyFont="1" applyFill="1" applyBorder="1" applyAlignment="1">
      <alignment horizontal="center" vertical="center"/>
    </xf>
    <xf numFmtId="0" fontId="57" fillId="6" borderId="2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40" fillId="0" borderId="43" xfId="0" applyFont="1" applyBorder="1" applyAlignment="1">
      <alignment horizontal="center" vertical="center"/>
    </xf>
    <xf numFmtId="0" fontId="40" fillId="0" borderId="48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56" fillId="9" borderId="41" xfId="0" applyFont="1" applyFill="1" applyBorder="1" applyAlignment="1">
      <alignment horizontal="center" vertical="center"/>
    </xf>
    <xf numFmtId="0" fontId="56" fillId="9" borderId="0" xfId="0" applyFont="1" applyFill="1" applyAlignment="1">
      <alignment horizontal="center" vertical="center"/>
    </xf>
    <xf numFmtId="0" fontId="56" fillId="9" borderId="6" xfId="0" applyFont="1" applyFill="1" applyBorder="1" applyAlignment="1">
      <alignment horizontal="center" vertical="center"/>
    </xf>
    <xf numFmtId="0" fontId="56" fillId="6" borderId="41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56" fillId="6" borderId="6" xfId="0" applyFont="1" applyFill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56" fillId="7" borderId="41" xfId="0" applyFont="1" applyFill="1" applyBorder="1" applyAlignment="1">
      <alignment horizontal="center" vertical="center"/>
    </xf>
    <xf numFmtId="0" fontId="56" fillId="7" borderId="0" xfId="0" applyFont="1" applyFill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5" fillId="7" borderId="45" xfId="0" applyFont="1" applyFill="1" applyBorder="1" applyAlignment="1">
      <alignment horizontal="center" vertical="center"/>
    </xf>
    <xf numFmtId="0" fontId="55" fillId="7" borderId="46" xfId="0" applyFont="1" applyFill="1" applyBorder="1" applyAlignment="1">
      <alignment horizontal="center" vertical="center"/>
    </xf>
    <xf numFmtId="0" fontId="55" fillId="7" borderId="47" xfId="0" applyFont="1" applyFill="1" applyBorder="1" applyAlignment="1">
      <alignment horizontal="center" vertical="center"/>
    </xf>
    <xf numFmtId="0" fontId="56" fillId="8" borderId="41" xfId="0" applyFont="1" applyFill="1" applyBorder="1" applyAlignment="1">
      <alignment horizontal="center" vertical="center"/>
    </xf>
    <xf numFmtId="0" fontId="56" fillId="8" borderId="0" xfId="0" applyFont="1" applyFill="1" applyAlignment="1">
      <alignment horizontal="center" vertical="center"/>
    </xf>
    <xf numFmtId="0" fontId="56" fillId="8" borderId="6" xfId="0" applyFont="1" applyFill="1" applyBorder="1" applyAlignment="1">
      <alignment horizontal="center" vertical="center"/>
    </xf>
    <xf numFmtId="0" fontId="55" fillId="8" borderId="45" xfId="0" applyFont="1" applyFill="1" applyBorder="1" applyAlignment="1">
      <alignment horizontal="center" vertical="center"/>
    </xf>
    <xf numFmtId="0" fontId="55" fillId="8" borderId="46" xfId="0" applyFont="1" applyFill="1" applyBorder="1" applyAlignment="1">
      <alignment horizontal="center" vertical="center"/>
    </xf>
    <xf numFmtId="0" fontId="55" fillId="8" borderId="47" xfId="0" applyFont="1" applyFill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8" fillId="10" borderId="41" xfId="0" applyFont="1" applyFill="1" applyBorder="1" applyAlignment="1">
      <alignment horizontal="center" vertical="center"/>
    </xf>
    <xf numFmtId="0" fontId="38" fillId="10" borderId="0" xfId="0" applyFont="1" applyFill="1" applyAlignment="1">
      <alignment horizontal="center" vertical="center"/>
    </xf>
    <xf numFmtId="0" fontId="38" fillId="10" borderId="6" xfId="0" applyFont="1" applyFill="1" applyBorder="1" applyAlignment="1">
      <alignment horizontal="center" vertical="center"/>
    </xf>
    <xf numFmtId="0" fontId="62" fillId="10" borderId="45" xfId="0" applyFont="1" applyFill="1" applyBorder="1" applyAlignment="1">
      <alignment horizontal="center" vertical="center"/>
    </xf>
    <xf numFmtId="0" fontId="62" fillId="10" borderId="46" xfId="0" applyFont="1" applyFill="1" applyBorder="1" applyAlignment="1">
      <alignment horizontal="center" vertical="center"/>
    </xf>
    <xf numFmtId="0" fontId="62" fillId="10" borderId="47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55" fillId="9" borderId="45" xfId="0" applyFont="1" applyFill="1" applyBorder="1" applyAlignment="1">
      <alignment horizontal="center" vertical="center"/>
    </xf>
    <xf numFmtId="0" fontId="55" fillId="9" borderId="46" xfId="0" applyFont="1" applyFill="1" applyBorder="1" applyAlignment="1">
      <alignment horizontal="center" vertical="center"/>
    </xf>
    <xf numFmtId="0" fontId="55" fillId="9" borderId="47" xfId="0" applyFont="1" applyFill="1" applyBorder="1" applyAlignment="1">
      <alignment horizontal="center" vertical="center"/>
    </xf>
    <xf numFmtId="0" fontId="56" fillId="7" borderId="43" xfId="0" applyFont="1" applyFill="1" applyBorder="1" applyAlignment="1">
      <alignment horizontal="center" vertical="center"/>
    </xf>
    <xf numFmtId="0" fontId="56" fillId="7" borderId="48" xfId="0" applyFont="1" applyFill="1" applyBorder="1" applyAlignment="1">
      <alignment horizontal="center" vertical="center"/>
    </xf>
    <xf numFmtId="0" fontId="56" fillId="7" borderId="44" xfId="0" applyFont="1" applyFill="1" applyBorder="1" applyAlignment="1">
      <alignment horizontal="center" vertical="center"/>
    </xf>
    <xf numFmtId="0" fontId="55" fillId="6" borderId="45" xfId="0" applyFont="1" applyFill="1" applyBorder="1" applyAlignment="1">
      <alignment horizontal="center" vertical="center"/>
    </xf>
    <xf numFmtId="0" fontId="55" fillId="6" borderId="46" xfId="0" applyFont="1" applyFill="1" applyBorder="1" applyAlignment="1">
      <alignment horizontal="center" vertical="center"/>
    </xf>
    <xf numFmtId="0" fontId="55" fillId="6" borderId="47" xfId="0" applyFont="1" applyFill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56" fillId="7" borderId="40" xfId="0" applyFont="1" applyFill="1" applyBorder="1" applyAlignment="1">
      <alignment horizontal="center" vertical="center"/>
    </xf>
    <xf numFmtId="0" fontId="56" fillId="7" borderId="22" xfId="0" applyFont="1" applyFill="1" applyBorder="1" applyAlignment="1">
      <alignment horizontal="center" vertical="center"/>
    </xf>
    <xf numFmtId="0" fontId="56" fillId="7" borderId="42" xfId="0" applyFont="1" applyFill="1" applyBorder="1" applyAlignment="1">
      <alignment horizontal="center" vertical="center"/>
    </xf>
    <xf numFmtId="0" fontId="63" fillId="0" borderId="43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7" fillId="0" borderId="50" xfId="0" applyFont="1" applyBorder="1" applyAlignment="1" applyProtection="1">
      <alignment horizontal="center" vertical="center"/>
      <protection locked="0"/>
    </xf>
    <xf numFmtId="0" fontId="44" fillId="0" borderId="3" xfId="0" applyFont="1" applyBorder="1" applyAlignment="1" applyProtection="1">
      <alignment horizontal="center" vertical="center" textRotation="90" wrapText="1"/>
      <protection locked="0"/>
    </xf>
    <xf numFmtId="0" fontId="48" fillId="0" borderId="3" xfId="0" applyFont="1" applyBorder="1" applyAlignment="1" applyProtection="1">
      <alignment horizontal="center" vertical="center" textRotation="90" wrapText="1"/>
      <protection locked="0"/>
    </xf>
    <xf numFmtId="0" fontId="44" fillId="0" borderId="37" xfId="0" applyFont="1" applyBorder="1" applyAlignment="1" applyProtection="1">
      <alignment horizontal="center" vertical="center" textRotation="90" wrapText="1"/>
      <protection locked="0"/>
    </xf>
    <xf numFmtId="0" fontId="44" fillId="0" borderId="0" xfId="0" applyFont="1" applyAlignment="1" applyProtection="1">
      <alignment horizontal="center" vertical="center" textRotation="90" wrapText="1"/>
      <protection locked="0"/>
    </xf>
    <xf numFmtId="0" fontId="44" fillId="0" borderId="51" xfId="0" applyFont="1" applyBorder="1" applyAlignment="1" applyProtection="1">
      <alignment horizontal="center" vertical="center" textRotation="90" wrapText="1"/>
      <protection locked="0"/>
    </xf>
    <xf numFmtId="0" fontId="22" fillId="0" borderId="23" xfId="0" applyFont="1" applyBorder="1" applyAlignment="1">
      <alignment horizontal="center" vertical="center" wrapText="1"/>
    </xf>
  </cellXfs>
  <cellStyles count="7">
    <cellStyle name="Lien hypertexte" xfId="1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Normal" xfId="0" builtinId="0"/>
    <cellStyle name="Normal_CdFC carabine 10m Adultes 8+" xfId="2"/>
  </cellStyles>
  <dxfs count="39"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2" tint="-0.749992370372631"/>
        </patternFill>
      </fill>
    </dxf>
    <dxf>
      <font>
        <condense val="0"/>
        <extend val="0"/>
        <color indexed="9"/>
      </font>
    </dxf>
    <dxf>
      <font>
        <b/>
        <i val="0"/>
        <color auto="1"/>
      </font>
      <fill>
        <patternFill patternType="solid">
          <fgColor indexed="64"/>
          <bgColor rgb="FFF1D400"/>
        </patternFill>
      </fill>
    </dxf>
    <dxf>
      <font>
        <b/>
        <i val="0"/>
        <color theme="0"/>
      </font>
      <fill>
        <patternFill patternType="solid">
          <fgColor indexed="64"/>
          <bgColor theme="9" tint="-0.499984740745262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right style="dashDotDot">
          <color indexed="64"/>
        </righ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solid">
          <fgColor indexed="64"/>
          <bgColor theme="2" tint="-0.749992370372631"/>
        </patternFill>
      </fill>
    </dxf>
    <dxf>
      <font>
        <b/>
        <i val="0"/>
        <strike val="0"/>
        <color theme="0"/>
      </font>
      <fill>
        <patternFill patternType="solid">
          <fgColor indexed="64"/>
          <bgColor theme="5" tint="-0.499984740745262"/>
        </patternFill>
      </fill>
    </dxf>
    <dxf>
      <font>
        <b/>
        <i val="0"/>
        <color theme="0"/>
      </font>
      <fill>
        <patternFill patternType="solid">
          <fgColor indexed="64"/>
          <bgColor theme="3" tint="-0.24997711111789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color theme="0"/>
      </font>
      <fill>
        <patternFill patternType="none">
          <fgColor indexed="64"/>
          <bgColor indexed="65"/>
        </patternFill>
      </fill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ndense val="0"/>
        <extend val="0"/>
        <color indexed="9"/>
      </font>
    </dxf>
    <dxf>
      <font>
        <b/>
        <i val="0"/>
        <condense val="0"/>
        <extend val="0"/>
      </font>
      <border>
        <left style="dashDotDot">
          <color indexed="64"/>
        </left>
        <bottom style="dashDotDot">
          <color indexed="64"/>
        </bottom>
      </border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color theme="0"/>
      </font>
      <fill>
        <patternFill patternType="none">
          <fgColor indexed="64"/>
          <bgColor indexed="6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91</xdr:row>
      <xdr:rowOff>114300</xdr:rowOff>
    </xdr:from>
    <xdr:to>
      <xdr:col>6</xdr:col>
      <xdr:colOff>615950</xdr:colOff>
      <xdr:row>92</xdr:row>
      <xdr:rowOff>304800</xdr:rowOff>
    </xdr:to>
    <xdr:pic>
      <xdr:nvPicPr>
        <xdr:cNvPr id="42363" name="Picture 1">
          <a:extLst>
            <a:ext uri="{FF2B5EF4-FFF2-40B4-BE49-F238E27FC236}">
              <a16:creationId xmlns:a16="http://schemas.microsoft.com/office/drawing/2014/main" xmlns="" id="{00000000-0008-0000-0400-00007B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3180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50800</xdr:colOff>
      <xdr:row>91</xdr:row>
      <xdr:rowOff>114300</xdr:rowOff>
    </xdr:from>
    <xdr:to>
      <xdr:col>14</xdr:col>
      <xdr:colOff>0</xdr:colOff>
      <xdr:row>92</xdr:row>
      <xdr:rowOff>304800</xdr:rowOff>
    </xdr:to>
    <xdr:pic>
      <xdr:nvPicPr>
        <xdr:cNvPr id="42364" name="Picture 7">
          <a:extLst>
            <a:ext uri="{FF2B5EF4-FFF2-40B4-BE49-F238E27FC236}">
              <a16:creationId xmlns:a16="http://schemas.microsoft.com/office/drawing/2014/main" xmlns="" id="{00000000-0008-0000-0400-00007CA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893300" y="27762200"/>
          <a:ext cx="673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368300</xdr:rowOff>
    </xdr:from>
    <xdr:to>
      <xdr:col>7</xdr:col>
      <xdr:colOff>381000</xdr:colOff>
      <xdr:row>2</xdr:row>
      <xdr:rowOff>368300</xdr:rowOff>
    </xdr:to>
    <xdr:sp macro="" textlink="">
      <xdr:nvSpPr>
        <xdr:cNvPr id="42365" name="Line 8">
          <a:extLst>
            <a:ext uri="{FF2B5EF4-FFF2-40B4-BE49-F238E27FC236}">
              <a16:creationId xmlns:a16="http://schemas.microsoft.com/office/drawing/2014/main" xmlns="" id="{00000000-0008-0000-0400-00007DA50000}"/>
            </a:ext>
          </a:extLst>
        </xdr:cNvPr>
        <xdr:cNvSpPr>
          <a:spLocks noChangeShapeType="1"/>
        </xdr:cNvSpPr>
      </xdr:nvSpPr>
      <xdr:spPr bwMode="auto">
        <a:xfrm flipH="1">
          <a:off x="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342900</xdr:colOff>
      <xdr:row>2</xdr:row>
      <xdr:rowOff>368300</xdr:rowOff>
    </xdr:from>
    <xdr:to>
      <xdr:col>20</xdr:col>
      <xdr:colOff>0</xdr:colOff>
      <xdr:row>2</xdr:row>
      <xdr:rowOff>368300</xdr:rowOff>
    </xdr:to>
    <xdr:sp macro="" textlink="">
      <xdr:nvSpPr>
        <xdr:cNvPr id="42366" name="Line 10">
          <a:extLst>
            <a:ext uri="{FF2B5EF4-FFF2-40B4-BE49-F238E27FC236}">
              <a16:creationId xmlns:a16="http://schemas.microsoft.com/office/drawing/2014/main" xmlns="" id="{00000000-0008-0000-0400-00007EA50000}"/>
            </a:ext>
          </a:extLst>
        </xdr:cNvPr>
        <xdr:cNvSpPr>
          <a:spLocks noChangeShapeType="1"/>
        </xdr:cNvSpPr>
      </xdr:nvSpPr>
      <xdr:spPr bwMode="auto">
        <a:xfrm flipH="1">
          <a:off x="9461500" y="21209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23</xdr:row>
      <xdr:rowOff>368300</xdr:rowOff>
    </xdr:from>
    <xdr:to>
      <xdr:col>5</xdr:col>
      <xdr:colOff>508000</xdr:colOff>
      <xdr:row>23</xdr:row>
      <xdr:rowOff>393700</xdr:rowOff>
    </xdr:to>
    <xdr:sp macro="" textlink="">
      <xdr:nvSpPr>
        <xdr:cNvPr id="42367" name="Line 11">
          <a:extLst>
            <a:ext uri="{FF2B5EF4-FFF2-40B4-BE49-F238E27FC236}">
              <a16:creationId xmlns:a16="http://schemas.microsoft.com/office/drawing/2014/main" xmlns="" id="{00000000-0008-0000-0400-00007FA50000}"/>
            </a:ext>
          </a:extLst>
        </xdr:cNvPr>
        <xdr:cNvSpPr>
          <a:spLocks noChangeShapeType="1"/>
        </xdr:cNvSpPr>
      </xdr:nvSpPr>
      <xdr:spPr bwMode="auto">
        <a:xfrm flipH="1">
          <a:off x="0" y="7810500"/>
          <a:ext cx="42291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14</xdr:col>
      <xdr:colOff>114300</xdr:colOff>
      <xdr:row>23</xdr:row>
      <xdr:rowOff>317500</xdr:rowOff>
    </xdr:from>
    <xdr:to>
      <xdr:col>19</xdr:col>
      <xdr:colOff>711200</xdr:colOff>
      <xdr:row>23</xdr:row>
      <xdr:rowOff>342900</xdr:rowOff>
    </xdr:to>
    <xdr:sp macro="" textlink="">
      <xdr:nvSpPr>
        <xdr:cNvPr id="42368" name="Line 12">
          <a:extLst>
            <a:ext uri="{FF2B5EF4-FFF2-40B4-BE49-F238E27FC236}">
              <a16:creationId xmlns:a16="http://schemas.microsoft.com/office/drawing/2014/main" xmlns="" id="{00000000-0008-0000-0400-000080A50000}"/>
            </a:ext>
          </a:extLst>
        </xdr:cNvPr>
        <xdr:cNvSpPr>
          <a:spLocks noChangeShapeType="1"/>
        </xdr:cNvSpPr>
      </xdr:nvSpPr>
      <xdr:spPr bwMode="auto">
        <a:xfrm flipV="1">
          <a:off x="10680700" y="7810500"/>
          <a:ext cx="4191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44</xdr:row>
      <xdr:rowOff>406400</xdr:rowOff>
    </xdr:from>
    <xdr:to>
      <xdr:col>7</xdr:col>
      <xdr:colOff>381000</xdr:colOff>
      <xdr:row>44</xdr:row>
      <xdr:rowOff>406400</xdr:rowOff>
    </xdr:to>
    <xdr:sp macro="" textlink="">
      <xdr:nvSpPr>
        <xdr:cNvPr id="42369" name="Line 13">
          <a:extLst>
            <a:ext uri="{FF2B5EF4-FFF2-40B4-BE49-F238E27FC236}">
              <a16:creationId xmlns:a16="http://schemas.microsoft.com/office/drawing/2014/main" xmlns="" id="{00000000-0008-0000-0400-000081A50000}"/>
            </a:ext>
          </a:extLst>
        </xdr:cNvPr>
        <xdr:cNvSpPr>
          <a:spLocks noChangeShapeType="1"/>
        </xdr:cNvSpPr>
      </xdr:nvSpPr>
      <xdr:spPr bwMode="auto">
        <a:xfrm flipH="1">
          <a:off x="0" y="138557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355600</xdr:colOff>
      <xdr:row>44</xdr:row>
      <xdr:rowOff>393700</xdr:rowOff>
    </xdr:from>
    <xdr:to>
      <xdr:col>20</xdr:col>
      <xdr:colOff>12700</xdr:colOff>
      <xdr:row>44</xdr:row>
      <xdr:rowOff>393700</xdr:rowOff>
    </xdr:to>
    <xdr:sp macro="" textlink="">
      <xdr:nvSpPr>
        <xdr:cNvPr id="42370" name="Line 14">
          <a:extLst>
            <a:ext uri="{FF2B5EF4-FFF2-40B4-BE49-F238E27FC236}">
              <a16:creationId xmlns:a16="http://schemas.microsoft.com/office/drawing/2014/main" xmlns="" id="{00000000-0008-0000-0400-000082A50000}"/>
            </a:ext>
          </a:extLst>
        </xdr:cNvPr>
        <xdr:cNvSpPr>
          <a:spLocks noChangeShapeType="1"/>
        </xdr:cNvSpPr>
      </xdr:nvSpPr>
      <xdr:spPr bwMode="auto">
        <a:xfrm flipH="1">
          <a:off x="9474200" y="13843000"/>
          <a:ext cx="54229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65</xdr:row>
      <xdr:rowOff>368300</xdr:rowOff>
    </xdr:from>
    <xdr:to>
      <xdr:col>6</xdr:col>
      <xdr:colOff>698500</xdr:colOff>
      <xdr:row>65</xdr:row>
      <xdr:rowOff>368300</xdr:rowOff>
    </xdr:to>
    <xdr:sp macro="" textlink="">
      <xdr:nvSpPr>
        <xdr:cNvPr id="42371" name="Line 15">
          <a:extLst>
            <a:ext uri="{FF2B5EF4-FFF2-40B4-BE49-F238E27FC236}">
              <a16:creationId xmlns:a16="http://schemas.microsoft.com/office/drawing/2014/main" xmlns="" id="{00000000-0008-0000-0400-000083A50000}"/>
            </a:ext>
          </a:extLst>
        </xdr:cNvPr>
        <xdr:cNvSpPr>
          <a:spLocks noChangeShapeType="1"/>
        </xdr:cNvSpPr>
      </xdr:nvSpPr>
      <xdr:spPr bwMode="auto">
        <a:xfrm flipH="1">
          <a:off x="0" y="202438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13</xdr:col>
      <xdr:colOff>50800</xdr:colOff>
      <xdr:row>65</xdr:row>
      <xdr:rowOff>368300</xdr:rowOff>
    </xdr:from>
    <xdr:to>
      <xdr:col>19</xdr:col>
      <xdr:colOff>685800</xdr:colOff>
      <xdr:row>65</xdr:row>
      <xdr:rowOff>368300</xdr:rowOff>
    </xdr:to>
    <xdr:sp macro="" textlink="">
      <xdr:nvSpPr>
        <xdr:cNvPr id="42372" name="Line 16">
          <a:extLst>
            <a:ext uri="{FF2B5EF4-FFF2-40B4-BE49-F238E27FC236}">
              <a16:creationId xmlns:a16="http://schemas.microsoft.com/office/drawing/2014/main" xmlns="" id="{00000000-0008-0000-0400-000084A50000}"/>
            </a:ext>
          </a:extLst>
        </xdr:cNvPr>
        <xdr:cNvSpPr>
          <a:spLocks noChangeShapeType="1"/>
        </xdr:cNvSpPr>
      </xdr:nvSpPr>
      <xdr:spPr bwMode="auto">
        <a:xfrm>
          <a:off x="9893300" y="202438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0</xdr:col>
      <xdr:colOff>0</xdr:colOff>
      <xdr:row>78</xdr:row>
      <xdr:rowOff>317500</xdr:rowOff>
    </xdr:from>
    <xdr:to>
      <xdr:col>6</xdr:col>
      <xdr:colOff>698500</xdr:colOff>
      <xdr:row>78</xdr:row>
      <xdr:rowOff>317500</xdr:rowOff>
    </xdr:to>
    <xdr:sp macro="" textlink="">
      <xdr:nvSpPr>
        <xdr:cNvPr id="42373" name="Line 17">
          <a:extLst>
            <a:ext uri="{FF2B5EF4-FFF2-40B4-BE49-F238E27FC236}">
              <a16:creationId xmlns:a16="http://schemas.microsoft.com/office/drawing/2014/main" xmlns="" id="{00000000-0008-0000-0400-000085A50000}"/>
            </a:ext>
          </a:extLst>
        </xdr:cNvPr>
        <xdr:cNvSpPr>
          <a:spLocks noChangeShapeType="1"/>
        </xdr:cNvSpPr>
      </xdr:nvSpPr>
      <xdr:spPr bwMode="auto">
        <a:xfrm flipH="1">
          <a:off x="0" y="24295100"/>
          <a:ext cx="50165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>
    <xdr:from>
      <xdr:col>12</xdr:col>
      <xdr:colOff>711200</xdr:colOff>
      <xdr:row>78</xdr:row>
      <xdr:rowOff>317500</xdr:rowOff>
    </xdr:from>
    <xdr:to>
      <xdr:col>19</xdr:col>
      <xdr:colOff>622300</xdr:colOff>
      <xdr:row>78</xdr:row>
      <xdr:rowOff>317500</xdr:rowOff>
    </xdr:to>
    <xdr:sp macro="" textlink="">
      <xdr:nvSpPr>
        <xdr:cNvPr id="42374" name="Line 18">
          <a:extLst>
            <a:ext uri="{FF2B5EF4-FFF2-40B4-BE49-F238E27FC236}">
              <a16:creationId xmlns:a16="http://schemas.microsoft.com/office/drawing/2014/main" xmlns="" id="{00000000-0008-0000-0400-000086A50000}"/>
            </a:ext>
          </a:extLst>
        </xdr:cNvPr>
        <xdr:cNvSpPr>
          <a:spLocks noChangeShapeType="1"/>
        </xdr:cNvSpPr>
      </xdr:nvSpPr>
      <xdr:spPr bwMode="auto">
        <a:xfrm>
          <a:off x="9829800" y="24295100"/>
          <a:ext cx="4953000" cy="0"/>
        </a:xfrm>
        <a:prstGeom prst="line">
          <a:avLst/>
        </a:prstGeom>
        <a:noFill/>
        <a:ln w="38100">
          <a:solidFill>
            <a:srgbClr val="80808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fr-FR"/>
        </a:p>
      </xdr:txBody>
    </xdr:sp>
    <xdr:clientData/>
  </xdr:twoCellAnchor>
  <xdr:twoCellAnchor editAs="oneCell">
    <xdr:from>
      <xdr:col>0</xdr:col>
      <xdr:colOff>0</xdr:colOff>
      <xdr:row>0</xdr:row>
      <xdr:rowOff>67735</xdr:rowOff>
    </xdr:from>
    <xdr:to>
      <xdr:col>2</xdr:col>
      <xdr:colOff>191325</xdr:colOff>
      <xdr:row>1</xdr:row>
      <xdr:rowOff>640794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8365" t="6606" r="7673" b="7012"/>
        <a:stretch/>
      </xdr:blipFill>
      <xdr:spPr bwMode="auto">
        <a:xfrm>
          <a:off x="0" y="67735"/>
          <a:ext cx="1867725" cy="121652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18</xdr:col>
      <xdr:colOff>203198</xdr:colOff>
      <xdr:row>0</xdr:row>
      <xdr:rowOff>84665</xdr:rowOff>
    </xdr:from>
    <xdr:to>
      <xdr:col>19</xdr:col>
      <xdr:colOff>618416</xdr:colOff>
      <xdr:row>1</xdr:row>
      <xdr:rowOff>684462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646" b="6838"/>
        <a:stretch/>
      </xdr:blipFill>
      <xdr:spPr>
        <a:xfrm>
          <a:off x="13428131" y="84665"/>
          <a:ext cx="1420635" cy="1243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</xdr:col>
      <xdr:colOff>881448</xdr:colOff>
      <xdr:row>2</xdr:row>
      <xdr:rowOff>396875</xdr:rowOff>
    </xdr:to>
    <xdr:pic>
      <xdr:nvPicPr>
        <xdr:cNvPr id="40968" name="Picture 8">
          <a:extLst>
            <a:ext uri="{FF2B5EF4-FFF2-40B4-BE49-F238E27FC236}">
              <a16:creationId xmlns:a16="http://schemas.microsoft.com/office/drawing/2014/main" xmlns="" id="{00000000-0008-0000-0500-000008A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7000"/>
          <a:ext cx="1833948" cy="1158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4</xdr:col>
      <xdr:colOff>357187</xdr:colOff>
      <xdr:row>0</xdr:row>
      <xdr:rowOff>12700</xdr:rowOff>
    </xdr:from>
    <xdr:to>
      <xdr:col>7</xdr:col>
      <xdr:colOff>627062</xdr:colOff>
      <xdr:row>2</xdr:row>
      <xdr:rowOff>469900</xdr:rowOff>
    </xdr:to>
    <xdr:pic>
      <xdr:nvPicPr>
        <xdr:cNvPr id="41002" name="Image 1">
          <a:extLst>
            <a:ext uri="{FF2B5EF4-FFF2-40B4-BE49-F238E27FC236}">
              <a16:creationId xmlns:a16="http://schemas.microsoft.com/office/drawing/2014/main" xmlns="" id="{00000000-0008-0000-0500-00002AA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453687" y="12700"/>
          <a:ext cx="1651000" cy="1338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2C0000"/>
        </a:solidFill>
        <a:ln w="190500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quentel@ffti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C19"/>
  <sheetViews>
    <sheetView showGridLines="0" zoomScaleSheetLayoutView="100" workbookViewId="0">
      <selection activeCell="B4" sqref="B4"/>
    </sheetView>
  </sheetViews>
  <sheetFormatPr baseColWidth="10" defaultColWidth="10.625" defaultRowHeight="12.75"/>
  <cols>
    <col min="1" max="1" width="16.5" style="79" bestFit="1" customWidth="1"/>
    <col min="2" max="2" width="29.625" style="79" customWidth="1"/>
    <col min="3" max="3" width="30.875" style="79" customWidth="1"/>
    <col min="4" max="16384" width="10.625" style="79"/>
  </cols>
  <sheetData>
    <row r="1" spans="1:3" ht="96.95" customHeight="1">
      <c r="A1" s="142" t="s">
        <v>3</v>
      </c>
      <c r="B1" s="143"/>
      <c r="C1" s="143"/>
    </row>
    <row r="2" spans="1:3" ht="24.95" customHeight="1">
      <c r="A2" s="144" t="s">
        <v>18</v>
      </c>
      <c r="B2" s="144"/>
      <c r="C2" s="144"/>
    </row>
    <row r="3" spans="1:3" ht="24.95" customHeight="1">
      <c r="A3" s="147" t="s">
        <v>29</v>
      </c>
      <c r="B3" s="147"/>
      <c r="C3" s="147"/>
    </row>
    <row r="4" spans="1:3" ht="24.95" customHeight="1">
      <c r="A4" s="80" t="s">
        <v>5</v>
      </c>
      <c r="B4" s="43">
        <v>44227</v>
      </c>
      <c r="C4" s="81"/>
    </row>
    <row r="5" spans="1:3" ht="24.95" customHeight="1">
      <c r="A5" s="80" t="s">
        <v>46</v>
      </c>
      <c r="B5" s="7" t="s">
        <v>70</v>
      </c>
      <c r="C5" s="81"/>
    </row>
    <row r="6" spans="1:3" ht="24.95" customHeight="1">
      <c r="A6" s="80" t="s">
        <v>49</v>
      </c>
      <c r="B6" s="37" t="s">
        <v>64</v>
      </c>
      <c r="C6" s="81"/>
    </row>
    <row r="7" spans="1:3" ht="24.95" customHeight="1">
      <c r="A7" s="80" t="s">
        <v>0</v>
      </c>
      <c r="B7" s="7" t="s">
        <v>65</v>
      </c>
      <c r="C7" s="81" t="s">
        <v>4</v>
      </c>
    </row>
    <row r="8" spans="1:3" ht="24.95" customHeight="1">
      <c r="A8" s="80" t="s">
        <v>47</v>
      </c>
      <c r="B8" s="12">
        <v>3</v>
      </c>
      <c r="C8" s="81"/>
    </row>
    <row r="9" spans="1:3" ht="24.95" customHeight="1">
      <c r="A9" s="6" t="s">
        <v>31</v>
      </c>
      <c r="B9" s="36" t="s">
        <v>71</v>
      </c>
      <c r="C9" s="81" t="s">
        <v>50</v>
      </c>
    </row>
    <row r="10" spans="1:3" ht="24.95" customHeight="1">
      <c r="A10" s="82"/>
      <c r="B10" s="82"/>
      <c r="C10" s="83"/>
    </row>
    <row r="11" spans="1:3" ht="24.95" customHeight="1">
      <c r="A11" s="147" t="s">
        <v>30</v>
      </c>
      <c r="B11" s="147"/>
      <c r="C11" s="147"/>
    </row>
    <row r="12" spans="1:3" ht="30" customHeight="1">
      <c r="A12" s="80" t="s">
        <v>48</v>
      </c>
      <c r="B12" s="11" t="s">
        <v>72</v>
      </c>
      <c r="C12" s="84"/>
    </row>
    <row r="13" spans="1:3" ht="30" customHeight="1">
      <c r="A13" s="6" t="s">
        <v>26</v>
      </c>
      <c r="B13" s="10">
        <v>625977518</v>
      </c>
      <c r="C13" s="81"/>
    </row>
    <row r="14" spans="1:3" ht="30" customHeight="1">
      <c r="A14" s="6" t="s">
        <v>27</v>
      </c>
      <c r="B14" s="13" t="s">
        <v>73</v>
      </c>
      <c r="C14" s="85"/>
    </row>
    <row r="16" spans="1:3" ht="92.1" customHeight="1">
      <c r="A16" s="145" t="s">
        <v>10</v>
      </c>
      <c r="B16" s="145"/>
      <c r="C16" s="145"/>
    </row>
    <row r="17" spans="1:3" ht="15" customHeight="1">
      <c r="A17" s="148" t="s">
        <v>13</v>
      </c>
      <c r="B17" s="148"/>
      <c r="C17" s="83"/>
    </row>
    <row r="18" spans="1:3" ht="15" customHeight="1">
      <c r="A18" s="149" t="s">
        <v>28</v>
      </c>
      <c r="B18" s="148"/>
      <c r="C18" s="8"/>
    </row>
    <row r="19" spans="1:3" ht="15" customHeight="1">
      <c r="A19" s="146" t="s">
        <v>14</v>
      </c>
      <c r="B19" s="146"/>
      <c r="C19" s="9"/>
    </row>
  </sheetData>
  <sheetProtection sheet="1" objects="1" scenarios="1" formatColumns="0" selectLockedCells="1"/>
  <mergeCells count="8">
    <mergeCell ref="A1:C1"/>
    <mergeCell ref="A2:C2"/>
    <mergeCell ref="A16:C16"/>
    <mergeCell ref="A19:B19"/>
    <mergeCell ref="A3:C3"/>
    <mergeCell ref="A11:C11"/>
    <mergeCell ref="A17:B17"/>
    <mergeCell ref="A18:B18"/>
  </mergeCells>
  <phoneticPr fontId="16"/>
  <hyperlinks>
    <hyperlink ref="A18" r:id="rId1"/>
  </hyperlinks>
  <printOptions horizontalCentered="1" verticalCentered="1"/>
  <pageMargins left="0" right="0" top="0" bottom="0" header="0.19685039370078741" footer="0.19685039370078741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>
    <pageSetUpPr fitToPage="1"/>
  </sheetPr>
  <dimension ref="A1:X45"/>
  <sheetViews>
    <sheetView showGridLines="0" zoomScale="50" zoomScaleNormal="50" zoomScaleSheetLayoutView="40" zoomScalePageLayoutView="50" workbookViewId="0">
      <pane xSplit="4" ySplit="4" topLeftCell="E5" activePane="bottomRight" state="frozenSplit"/>
      <selection pane="topRight" activeCell="E1" sqref="E1"/>
      <selection pane="bottomLeft" activeCell="A3" sqref="A3"/>
      <selection pane="bottomRight" activeCell="C8" sqref="C8"/>
    </sheetView>
  </sheetViews>
  <sheetFormatPr baseColWidth="10" defaultColWidth="10.625" defaultRowHeight="40.5" outlineLevelCol="1"/>
  <cols>
    <col min="1" max="1" width="15.875" style="3" customWidth="1"/>
    <col min="2" max="2" width="22.375" style="45" customWidth="1" outlineLevel="1"/>
    <col min="3" max="3" width="54" style="4" bestFit="1" customWidth="1"/>
    <col min="4" max="4" width="20.625" style="4" bestFit="1" customWidth="1"/>
    <col min="5" max="5" width="50.625" style="4" customWidth="1"/>
    <col min="6" max="8" width="14.625" style="5" customWidth="1"/>
    <col min="9" max="9" width="10.875" style="5" hidden="1" customWidth="1"/>
    <col min="10" max="10" width="50.5" style="4" customWidth="1"/>
    <col min="11" max="12" width="14.875" style="5" customWidth="1"/>
    <col min="13" max="13" width="14.5" style="5" customWidth="1"/>
    <col min="14" max="14" width="10.5" style="5" hidden="1" customWidth="1"/>
    <col min="15" max="15" width="50.625" style="4" customWidth="1"/>
    <col min="16" max="17" width="14.875" style="5" customWidth="1"/>
    <col min="18" max="18" width="14.5" style="5" customWidth="1"/>
    <col min="19" max="19" width="10.625" style="5" hidden="1" customWidth="1"/>
    <col min="20" max="20" width="16.625" style="5" bestFit="1" customWidth="1"/>
    <col min="21" max="21" width="8.5" style="2" hidden="1" customWidth="1"/>
    <col min="22" max="22" width="4.5" style="3" customWidth="1"/>
    <col min="23" max="23" width="33.5" style="45" hidden="1" customWidth="1" outlineLevel="1"/>
    <col min="24" max="24" width="4.5" style="3" customWidth="1" collapsed="1"/>
    <col min="25" max="25" width="6.875" style="3" customWidth="1"/>
    <col min="26" max="26" width="3.125" style="3" customWidth="1"/>
    <col min="27" max="27" width="1" style="3" customWidth="1"/>
    <col min="28" max="28" width="9.5" style="3" customWidth="1"/>
    <col min="29" max="29" width="9.625" style="3" customWidth="1"/>
    <col min="30" max="16384" width="10.625" style="3"/>
  </cols>
  <sheetData>
    <row r="1" spans="1:23" ht="38.1" customHeight="1">
      <c r="A1" s="150" t="str">
        <f>CONCATENATE(INFO!B7," - ",INFO!B9)</f>
        <v>CARABINE - MIDI-PYRENEES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</row>
    <row r="2" spans="1:23" ht="39" customHeight="1" thickBo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</row>
    <row r="3" spans="1:23" ht="30" customHeight="1" thickTop="1">
      <c r="A3" s="162" t="s">
        <v>11</v>
      </c>
      <c r="B3" s="157" t="s">
        <v>44</v>
      </c>
      <c r="C3" s="164" t="s">
        <v>7</v>
      </c>
      <c r="D3" s="166" t="s">
        <v>38</v>
      </c>
      <c r="E3" s="92" t="s">
        <v>24</v>
      </c>
      <c r="F3" s="152" t="s">
        <v>42</v>
      </c>
      <c r="G3" s="152"/>
      <c r="H3" s="152" t="s">
        <v>43</v>
      </c>
      <c r="I3" s="159" t="s">
        <v>51</v>
      </c>
      <c r="J3" s="92" t="s">
        <v>24</v>
      </c>
      <c r="K3" s="152" t="s">
        <v>42</v>
      </c>
      <c r="L3" s="152"/>
      <c r="M3" s="152" t="s">
        <v>43</v>
      </c>
      <c r="N3" s="159" t="s">
        <v>51</v>
      </c>
      <c r="O3" s="92" t="s">
        <v>24</v>
      </c>
      <c r="P3" s="152" t="s">
        <v>42</v>
      </c>
      <c r="Q3" s="152"/>
      <c r="R3" s="152" t="s">
        <v>43</v>
      </c>
      <c r="S3" s="159" t="s">
        <v>51</v>
      </c>
      <c r="T3" s="153" t="s">
        <v>8</v>
      </c>
      <c r="U3" s="155" t="s">
        <v>9</v>
      </c>
      <c r="V3" s="17"/>
    </row>
    <row r="4" spans="1:23" ht="44.1" customHeight="1" thickBot="1">
      <c r="A4" s="163"/>
      <c r="B4" s="158"/>
      <c r="C4" s="165"/>
      <c r="D4" s="167"/>
      <c r="E4" s="93" t="s">
        <v>36</v>
      </c>
      <c r="F4" s="94">
        <v>1</v>
      </c>
      <c r="G4" s="94">
        <v>2</v>
      </c>
      <c r="H4" s="161"/>
      <c r="I4" s="160"/>
      <c r="J4" s="93" t="s">
        <v>35</v>
      </c>
      <c r="K4" s="94">
        <v>1</v>
      </c>
      <c r="L4" s="94">
        <v>2</v>
      </c>
      <c r="M4" s="161"/>
      <c r="N4" s="160"/>
      <c r="O4" s="93" t="s">
        <v>37</v>
      </c>
      <c r="P4" s="94">
        <v>1</v>
      </c>
      <c r="Q4" s="94">
        <v>2</v>
      </c>
      <c r="R4" s="161"/>
      <c r="S4" s="160"/>
      <c r="T4" s="154"/>
      <c r="U4" s="156"/>
    </row>
    <row r="5" spans="1:23" ht="47.1" customHeight="1" thickTop="1">
      <c r="A5" s="86">
        <v>1</v>
      </c>
      <c r="B5" s="138">
        <f>RANK(W5,W$5:W$44,0)</f>
        <v>2</v>
      </c>
      <c r="C5" s="53" t="s">
        <v>74</v>
      </c>
      <c r="D5" s="54" t="s">
        <v>66</v>
      </c>
      <c r="E5" s="55" t="s">
        <v>67</v>
      </c>
      <c r="F5" s="109">
        <v>64.900000000000006</v>
      </c>
      <c r="G5" s="109">
        <v>73.400000000000006</v>
      </c>
      <c r="H5" s="110">
        <f t="shared" ref="H5:H44" si="0">SUM(F5:G5)</f>
        <v>138.30000000000001</v>
      </c>
      <c r="I5" s="56"/>
      <c r="J5" s="55" t="s">
        <v>68</v>
      </c>
      <c r="K5" s="109">
        <v>54.6</v>
      </c>
      <c r="L5" s="109">
        <v>76.5</v>
      </c>
      <c r="M5" s="110">
        <f t="shared" ref="M5:M44" si="1">SUM(K5:L5)</f>
        <v>131.1</v>
      </c>
      <c r="N5" s="56"/>
      <c r="O5" s="55" t="s">
        <v>69</v>
      </c>
      <c r="P5" s="109">
        <v>81.7</v>
      </c>
      <c r="Q5" s="109">
        <v>85</v>
      </c>
      <c r="R5" s="110">
        <f t="shared" ref="R5:R44" si="2">SUM(P5:Q5)</f>
        <v>166.7</v>
      </c>
      <c r="S5" s="56"/>
      <c r="T5" s="114">
        <f t="shared" ref="T5:T44" si="3">SUM(H5+M5+R5)</f>
        <v>436.09999999999997</v>
      </c>
      <c r="U5" s="89">
        <f>I5+N5+S5</f>
        <v>0</v>
      </c>
      <c r="W5" s="133">
        <f>H5+M5+R5+(0.000001*(I5+N5+S5))+(0.000000001*(G5+L5+Q5))</f>
        <v>436.10000023489999</v>
      </c>
    </row>
    <row r="6" spans="1:23" ht="47.1" customHeight="1">
      <c r="A6" s="87">
        <v>2</v>
      </c>
      <c r="B6" s="139">
        <f t="shared" ref="B6:B44" si="4">RANK(W6,W$5:W$44,0)</f>
        <v>1</v>
      </c>
      <c r="C6" s="44" t="s">
        <v>75</v>
      </c>
      <c r="D6" s="46">
        <v>1931022</v>
      </c>
      <c r="E6" s="49" t="s">
        <v>76</v>
      </c>
      <c r="F6" s="111">
        <v>92.2</v>
      </c>
      <c r="G6" s="111">
        <v>80.900000000000006</v>
      </c>
      <c r="H6" s="112">
        <f t="shared" si="0"/>
        <v>173.10000000000002</v>
      </c>
      <c r="I6" s="50"/>
      <c r="J6" s="49" t="s">
        <v>77</v>
      </c>
      <c r="K6" s="111">
        <v>80.5</v>
      </c>
      <c r="L6" s="111">
        <v>74.7</v>
      </c>
      <c r="M6" s="112">
        <f t="shared" si="1"/>
        <v>155.19999999999999</v>
      </c>
      <c r="N6" s="50"/>
      <c r="O6" s="49" t="s">
        <v>78</v>
      </c>
      <c r="P6" s="111">
        <v>75.900000000000006</v>
      </c>
      <c r="Q6" s="111">
        <v>81.8</v>
      </c>
      <c r="R6" s="112">
        <f t="shared" si="2"/>
        <v>157.69999999999999</v>
      </c>
      <c r="S6" s="50"/>
      <c r="T6" s="115">
        <f t="shared" si="3"/>
        <v>486</v>
      </c>
      <c r="U6" s="90">
        <f t="shared" ref="U6:U44" si="5">I6+N6+S6</f>
        <v>0</v>
      </c>
      <c r="W6" s="133">
        <f t="shared" ref="W6:W44" si="6">H6+M6+R6+(0.000001*(I6+N6+S6))+(0.000000001*(G6+L6+Q6))</f>
        <v>486.0000002374</v>
      </c>
    </row>
    <row r="7" spans="1:23" ht="47.1" customHeight="1">
      <c r="A7" s="87">
        <v>3</v>
      </c>
      <c r="B7" s="139">
        <f t="shared" si="4"/>
        <v>3</v>
      </c>
      <c r="C7" s="44" t="s">
        <v>79</v>
      </c>
      <c r="D7" s="46">
        <v>1982105</v>
      </c>
      <c r="E7" s="49" t="s">
        <v>80</v>
      </c>
      <c r="F7" s="111">
        <v>69.3</v>
      </c>
      <c r="G7" s="111">
        <v>72.400000000000006</v>
      </c>
      <c r="H7" s="112">
        <f t="shared" si="0"/>
        <v>141.69999999999999</v>
      </c>
      <c r="I7" s="50"/>
      <c r="J7" s="49" t="s">
        <v>81</v>
      </c>
      <c r="K7" s="111">
        <v>65.2</v>
      </c>
      <c r="L7" s="111">
        <v>70.400000000000006</v>
      </c>
      <c r="M7" s="112">
        <f t="shared" si="1"/>
        <v>135.60000000000002</v>
      </c>
      <c r="N7" s="50"/>
      <c r="O7" s="49" t="s">
        <v>82</v>
      </c>
      <c r="P7" s="111">
        <v>69.5</v>
      </c>
      <c r="Q7" s="111">
        <v>78.099999999999994</v>
      </c>
      <c r="R7" s="112">
        <f t="shared" si="2"/>
        <v>147.6</v>
      </c>
      <c r="S7" s="50"/>
      <c r="T7" s="115">
        <f t="shared" si="3"/>
        <v>424.9</v>
      </c>
      <c r="U7" s="90">
        <f t="shared" si="5"/>
        <v>0</v>
      </c>
      <c r="W7" s="133">
        <f t="shared" si="6"/>
        <v>424.90000022089998</v>
      </c>
    </row>
    <row r="8" spans="1:23" ht="47.1" customHeight="1">
      <c r="A8" s="87">
        <v>4</v>
      </c>
      <c r="B8" s="139">
        <f t="shared" si="4"/>
        <v>4</v>
      </c>
      <c r="C8" s="44"/>
      <c r="D8" s="46"/>
      <c r="E8" s="49"/>
      <c r="F8" s="111"/>
      <c r="G8" s="111"/>
      <c r="H8" s="112">
        <f t="shared" si="0"/>
        <v>0</v>
      </c>
      <c r="I8" s="50"/>
      <c r="J8" s="49"/>
      <c r="K8" s="111"/>
      <c r="L8" s="111"/>
      <c r="M8" s="112">
        <f t="shared" si="1"/>
        <v>0</v>
      </c>
      <c r="N8" s="50"/>
      <c r="O8" s="49"/>
      <c r="P8" s="111"/>
      <c r="Q8" s="111"/>
      <c r="R8" s="112">
        <f t="shared" si="2"/>
        <v>0</v>
      </c>
      <c r="S8" s="50"/>
      <c r="T8" s="115">
        <f t="shared" si="3"/>
        <v>0</v>
      </c>
      <c r="U8" s="90">
        <f t="shared" si="5"/>
        <v>0</v>
      </c>
      <c r="W8" s="133">
        <f t="shared" si="6"/>
        <v>0</v>
      </c>
    </row>
    <row r="9" spans="1:23" ht="47.1" customHeight="1">
      <c r="A9" s="87">
        <v>5</v>
      </c>
      <c r="B9" s="139">
        <f t="shared" si="4"/>
        <v>4</v>
      </c>
      <c r="C9" s="44"/>
      <c r="D9" s="46"/>
      <c r="E9" s="49"/>
      <c r="F9" s="111"/>
      <c r="G9" s="111"/>
      <c r="H9" s="112">
        <f t="shared" si="0"/>
        <v>0</v>
      </c>
      <c r="I9" s="50"/>
      <c r="J9" s="49"/>
      <c r="K9" s="111"/>
      <c r="L9" s="111"/>
      <c r="M9" s="112">
        <f t="shared" si="1"/>
        <v>0</v>
      </c>
      <c r="N9" s="50"/>
      <c r="O9" s="49"/>
      <c r="P9" s="111"/>
      <c r="Q9" s="111"/>
      <c r="R9" s="112">
        <f t="shared" si="2"/>
        <v>0</v>
      </c>
      <c r="S9" s="50"/>
      <c r="T9" s="115">
        <f t="shared" si="3"/>
        <v>0</v>
      </c>
      <c r="U9" s="90">
        <f t="shared" si="5"/>
        <v>0</v>
      </c>
      <c r="W9" s="133">
        <f t="shared" si="6"/>
        <v>0</v>
      </c>
    </row>
    <row r="10" spans="1:23" ht="47.1" customHeight="1">
      <c r="A10" s="87">
        <v>6</v>
      </c>
      <c r="B10" s="139">
        <f t="shared" si="4"/>
        <v>4</v>
      </c>
      <c r="C10" s="44"/>
      <c r="D10" s="46"/>
      <c r="E10" s="49"/>
      <c r="F10" s="111"/>
      <c r="G10" s="111"/>
      <c r="H10" s="112">
        <f t="shared" si="0"/>
        <v>0</v>
      </c>
      <c r="I10" s="50"/>
      <c r="J10" s="49"/>
      <c r="K10" s="111"/>
      <c r="L10" s="111"/>
      <c r="M10" s="112">
        <f t="shared" si="1"/>
        <v>0</v>
      </c>
      <c r="N10" s="50"/>
      <c r="O10" s="49"/>
      <c r="P10" s="111"/>
      <c r="Q10" s="111"/>
      <c r="R10" s="112">
        <f t="shared" si="2"/>
        <v>0</v>
      </c>
      <c r="S10" s="50"/>
      <c r="T10" s="115">
        <f t="shared" si="3"/>
        <v>0</v>
      </c>
      <c r="U10" s="90">
        <f t="shared" si="5"/>
        <v>0</v>
      </c>
      <c r="W10" s="133">
        <f t="shared" si="6"/>
        <v>0</v>
      </c>
    </row>
    <row r="11" spans="1:23" ht="47.1" customHeight="1">
      <c r="A11" s="87">
        <v>7</v>
      </c>
      <c r="B11" s="139">
        <f t="shared" si="4"/>
        <v>4</v>
      </c>
      <c r="C11" s="44"/>
      <c r="D11" s="46"/>
      <c r="E11" s="49"/>
      <c r="F11" s="111"/>
      <c r="G11" s="111"/>
      <c r="H11" s="112">
        <f t="shared" si="0"/>
        <v>0</v>
      </c>
      <c r="I11" s="50"/>
      <c r="J11" s="49"/>
      <c r="K11" s="111"/>
      <c r="L11" s="111"/>
      <c r="M11" s="112">
        <f t="shared" si="1"/>
        <v>0</v>
      </c>
      <c r="N11" s="50"/>
      <c r="O11" s="49"/>
      <c r="P11" s="111"/>
      <c r="Q11" s="111"/>
      <c r="R11" s="112">
        <f t="shared" si="2"/>
        <v>0</v>
      </c>
      <c r="S11" s="50"/>
      <c r="T11" s="115">
        <f t="shared" si="3"/>
        <v>0</v>
      </c>
      <c r="U11" s="90">
        <f t="shared" si="5"/>
        <v>0</v>
      </c>
      <c r="W11" s="133">
        <f t="shared" si="6"/>
        <v>0</v>
      </c>
    </row>
    <row r="12" spans="1:23" ht="47.1" customHeight="1">
      <c r="A12" s="87">
        <v>8</v>
      </c>
      <c r="B12" s="139">
        <f t="shared" si="4"/>
        <v>4</v>
      </c>
      <c r="C12" s="44"/>
      <c r="D12" s="46"/>
      <c r="E12" s="49"/>
      <c r="F12" s="111"/>
      <c r="G12" s="111"/>
      <c r="H12" s="112">
        <f t="shared" si="0"/>
        <v>0</v>
      </c>
      <c r="I12" s="50"/>
      <c r="J12" s="49"/>
      <c r="K12" s="111"/>
      <c r="L12" s="111"/>
      <c r="M12" s="112">
        <f t="shared" si="1"/>
        <v>0</v>
      </c>
      <c r="N12" s="50"/>
      <c r="O12" s="49"/>
      <c r="P12" s="111"/>
      <c r="Q12" s="111"/>
      <c r="R12" s="112">
        <f t="shared" si="2"/>
        <v>0</v>
      </c>
      <c r="S12" s="50"/>
      <c r="T12" s="115">
        <f t="shared" si="3"/>
        <v>0</v>
      </c>
      <c r="U12" s="90">
        <f t="shared" si="5"/>
        <v>0</v>
      </c>
      <c r="W12" s="133">
        <f t="shared" si="6"/>
        <v>0</v>
      </c>
    </row>
    <row r="13" spans="1:23" ht="47.1" customHeight="1">
      <c r="A13" s="87">
        <v>9</v>
      </c>
      <c r="B13" s="139">
        <f t="shared" si="4"/>
        <v>4</v>
      </c>
      <c r="C13" s="44"/>
      <c r="D13" s="46"/>
      <c r="E13" s="49"/>
      <c r="F13" s="111"/>
      <c r="G13" s="111"/>
      <c r="H13" s="112">
        <f t="shared" si="0"/>
        <v>0</v>
      </c>
      <c r="I13" s="50"/>
      <c r="J13" s="49"/>
      <c r="K13" s="111"/>
      <c r="L13" s="111"/>
      <c r="M13" s="112">
        <f t="shared" si="1"/>
        <v>0</v>
      </c>
      <c r="N13" s="50"/>
      <c r="O13" s="49"/>
      <c r="P13" s="111"/>
      <c r="Q13" s="111"/>
      <c r="R13" s="112">
        <f t="shared" si="2"/>
        <v>0</v>
      </c>
      <c r="S13" s="50"/>
      <c r="T13" s="115">
        <f t="shared" si="3"/>
        <v>0</v>
      </c>
      <c r="U13" s="90">
        <f t="shared" si="5"/>
        <v>0</v>
      </c>
      <c r="W13" s="133">
        <f t="shared" si="6"/>
        <v>0</v>
      </c>
    </row>
    <row r="14" spans="1:23" ht="47.1" customHeight="1">
      <c r="A14" s="87">
        <v>10</v>
      </c>
      <c r="B14" s="139">
        <f t="shared" si="4"/>
        <v>4</v>
      </c>
      <c r="C14" s="44"/>
      <c r="D14" s="46"/>
      <c r="E14" s="49"/>
      <c r="F14" s="111"/>
      <c r="G14" s="111"/>
      <c r="H14" s="112">
        <f t="shared" si="0"/>
        <v>0</v>
      </c>
      <c r="I14" s="50"/>
      <c r="J14" s="49"/>
      <c r="K14" s="111"/>
      <c r="L14" s="111"/>
      <c r="M14" s="112">
        <f t="shared" si="1"/>
        <v>0</v>
      </c>
      <c r="N14" s="50"/>
      <c r="O14" s="49"/>
      <c r="P14" s="111"/>
      <c r="Q14" s="111"/>
      <c r="R14" s="112">
        <f t="shared" si="2"/>
        <v>0</v>
      </c>
      <c r="S14" s="50"/>
      <c r="T14" s="115">
        <f t="shared" si="3"/>
        <v>0</v>
      </c>
      <c r="U14" s="90">
        <f t="shared" si="5"/>
        <v>0</v>
      </c>
      <c r="W14" s="133">
        <f t="shared" si="6"/>
        <v>0</v>
      </c>
    </row>
    <row r="15" spans="1:23" ht="47.1" customHeight="1">
      <c r="A15" s="87">
        <v>11</v>
      </c>
      <c r="B15" s="139">
        <f t="shared" si="4"/>
        <v>4</v>
      </c>
      <c r="C15" s="44"/>
      <c r="D15" s="46"/>
      <c r="E15" s="49"/>
      <c r="F15" s="111"/>
      <c r="G15" s="111"/>
      <c r="H15" s="112">
        <f t="shared" si="0"/>
        <v>0</v>
      </c>
      <c r="I15" s="50"/>
      <c r="J15" s="49"/>
      <c r="K15" s="111"/>
      <c r="L15" s="111"/>
      <c r="M15" s="112">
        <f t="shared" si="1"/>
        <v>0</v>
      </c>
      <c r="N15" s="50"/>
      <c r="O15" s="49"/>
      <c r="P15" s="111"/>
      <c r="Q15" s="111"/>
      <c r="R15" s="112">
        <f t="shared" si="2"/>
        <v>0</v>
      </c>
      <c r="S15" s="50"/>
      <c r="T15" s="115">
        <f t="shared" si="3"/>
        <v>0</v>
      </c>
      <c r="U15" s="90">
        <f t="shared" si="5"/>
        <v>0</v>
      </c>
      <c r="W15" s="133">
        <f t="shared" si="6"/>
        <v>0</v>
      </c>
    </row>
    <row r="16" spans="1:23" ht="47.1" customHeight="1">
      <c r="A16" s="87">
        <v>12</v>
      </c>
      <c r="B16" s="139">
        <f t="shared" si="4"/>
        <v>4</v>
      </c>
      <c r="C16" s="44"/>
      <c r="D16" s="46"/>
      <c r="E16" s="49"/>
      <c r="F16" s="111"/>
      <c r="G16" s="111"/>
      <c r="H16" s="112">
        <f t="shared" si="0"/>
        <v>0</v>
      </c>
      <c r="I16" s="50"/>
      <c r="J16" s="49"/>
      <c r="K16" s="111"/>
      <c r="L16" s="111"/>
      <c r="M16" s="112">
        <f t="shared" si="1"/>
        <v>0</v>
      </c>
      <c r="N16" s="50"/>
      <c r="O16" s="49"/>
      <c r="P16" s="111"/>
      <c r="Q16" s="111"/>
      <c r="R16" s="112">
        <f t="shared" si="2"/>
        <v>0</v>
      </c>
      <c r="S16" s="50"/>
      <c r="T16" s="115">
        <f t="shared" si="3"/>
        <v>0</v>
      </c>
      <c r="U16" s="90">
        <f t="shared" si="5"/>
        <v>0</v>
      </c>
      <c r="W16" s="133">
        <f t="shared" si="6"/>
        <v>0</v>
      </c>
    </row>
    <row r="17" spans="1:23" ht="47.1" customHeight="1">
      <c r="A17" s="87">
        <v>13</v>
      </c>
      <c r="B17" s="139">
        <f t="shared" si="4"/>
        <v>4</v>
      </c>
      <c r="C17" s="44"/>
      <c r="D17" s="46"/>
      <c r="E17" s="49"/>
      <c r="F17" s="111"/>
      <c r="G17" s="111"/>
      <c r="H17" s="112">
        <f t="shared" si="0"/>
        <v>0</v>
      </c>
      <c r="I17" s="50"/>
      <c r="J17" s="49"/>
      <c r="K17" s="111"/>
      <c r="L17" s="111"/>
      <c r="M17" s="112">
        <f t="shared" si="1"/>
        <v>0</v>
      </c>
      <c r="N17" s="50"/>
      <c r="O17" s="49"/>
      <c r="P17" s="111"/>
      <c r="Q17" s="111"/>
      <c r="R17" s="112">
        <f t="shared" si="2"/>
        <v>0</v>
      </c>
      <c r="S17" s="50"/>
      <c r="T17" s="115">
        <f t="shared" si="3"/>
        <v>0</v>
      </c>
      <c r="U17" s="90">
        <f t="shared" si="5"/>
        <v>0</v>
      </c>
      <c r="W17" s="133">
        <f t="shared" si="6"/>
        <v>0</v>
      </c>
    </row>
    <row r="18" spans="1:23" ht="47.1" customHeight="1">
      <c r="A18" s="87">
        <v>14</v>
      </c>
      <c r="B18" s="139">
        <f t="shared" si="4"/>
        <v>4</v>
      </c>
      <c r="C18" s="44"/>
      <c r="D18" s="46"/>
      <c r="E18" s="49"/>
      <c r="F18" s="111"/>
      <c r="G18" s="111"/>
      <c r="H18" s="112">
        <f t="shared" si="0"/>
        <v>0</v>
      </c>
      <c r="I18" s="50"/>
      <c r="J18" s="49"/>
      <c r="K18" s="111"/>
      <c r="L18" s="111"/>
      <c r="M18" s="112">
        <f t="shared" si="1"/>
        <v>0</v>
      </c>
      <c r="N18" s="50"/>
      <c r="O18" s="49"/>
      <c r="P18" s="111"/>
      <c r="Q18" s="111"/>
      <c r="R18" s="112">
        <f t="shared" si="2"/>
        <v>0</v>
      </c>
      <c r="S18" s="50"/>
      <c r="T18" s="115">
        <f t="shared" si="3"/>
        <v>0</v>
      </c>
      <c r="U18" s="90">
        <f t="shared" si="5"/>
        <v>0</v>
      </c>
      <c r="W18" s="133">
        <f t="shared" si="6"/>
        <v>0</v>
      </c>
    </row>
    <row r="19" spans="1:23" ht="47.1" customHeight="1">
      <c r="A19" s="87">
        <v>15</v>
      </c>
      <c r="B19" s="139">
        <f t="shared" si="4"/>
        <v>4</v>
      </c>
      <c r="C19" s="44"/>
      <c r="D19" s="46"/>
      <c r="E19" s="49"/>
      <c r="F19" s="111"/>
      <c r="G19" s="111"/>
      <c r="H19" s="112">
        <f t="shared" si="0"/>
        <v>0</v>
      </c>
      <c r="I19" s="50"/>
      <c r="J19" s="49"/>
      <c r="K19" s="111"/>
      <c r="L19" s="111"/>
      <c r="M19" s="112">
        <f t="shared" si="1"/>
        <v>0</v>
      </c>
      <c r="N19" s="50"/>
      <c r="O19" s="49"/>
      <c r="P19" s="111"/>
      <c r="Q19" s="111"/>
      <c r="R19" s="112">
        <f t="shared" si="2"/>
        <v>0</v>
      </c>
      <c r="S19" s="50"/>
      <c r="T19" s="115">
        <f t="shared" si="3"/>
        <v>0</v>
      </c>
      <c r="U19" s="90">
        <f t="shared" si="5"/>
        <v>0</v>
      </c>
      <c r="W19" s="133">
        <f t="shared" si="6"/>
        <v>0</v>
      </c>
    </row>
    <row r="20" spans="1:23" ht="47.1" customHeight="1">
      <c r="A20" s="87">
        <v>16</v>
      </c>
      <c r="B20" s="139">
        <f t="shared" si="4"/>
        <v>4</v>
      </c>
      <c r="C20" s="44"/>
      <c r="D20" s="46"/>
      <c r="E20" s="49"/>
      <c r="F20" s="111"/>
      <c r="G20" s="111"/>
      <c r="H20" s="112">
        <f t="shared" si="0"/>
        <v>0</v>
      </c>
      <c r="I20" s="50"/>
      <c r="J20" s="49"/>
      <c r="K20" s="111"/>
      <c r="L20" s="111"/>
      <c r="M20" s="112">
        <f t="shared" si="1"/>
        <v>0</v>
      </c>
      <c r="N20" s="50"/>
      <c r="O20" s="49"/>
      <c r="P20" s="111"/>
      <c r="Q20" s="111"/>
      <c r="R20" s="112">
        <f t="shared" si="2"/>
        <v>0</v>
      </c>
      <c r="S20" s="50"/>
      <c r="T20" s="115">
        <f t="shared" si="3"/>
        <v>0</v>
      </c>
      <c r="U20" s="90">
        <f t="shared" si="5"/>
        <v>0</v>
      </c>
      <c r="W20" s="133">
        <f t="shared" si="6"/>
        <v>0</v>
      </c>
    </row>
    <row r="21" spans="1:23" ht="47.1" customHeight="1">
      <c r="A21" s="87">
        <v>17</v>
      </c>
      <c r="B21" s="139">
        <f t="shared" si="4"/>
        <v>4</v>
      </c>
      <c r="C21" s="44"/>
      <c r="D21" s="46"/>
      <c r="E21" s="49"/>
      <c r="F21" s="111"/>
      <c r="G21" s="111"/>
      <c r="H21" s="112">
        <f t="shared" si="0"/>
        <v>0</v>
      </c>
      <c r="I21" s="50"/>
      <c r="J21" s="49"/>
      <c r="K21" s="111"/>
      <c r="L21" s="111"/>
      <c r="M21" s="112">
        <f t="shared" si="1"/>
        <v>0</v>
      </c>
      <c r="N21" s="50"/>
      <c r="O21" s="49"/>
      <c r="P21" s="111"/>
      <c r="Q21" s="111"/>
      <c r="R21" s="112">
        <f t="shared" si="2"/>
        <v>0</v>
      </c>
      <c r="S21" s="50"/>
      <c r="T21" s="115">
        <f t="shared" si="3"/>
        <v>0</v>
      </c>
      <c r="U21" s="90">
        <f t="shared" si="5"/>
        <v>0</v>
      </c>
      <c r="W21" s="133">
        <f t="shared" si="6"/>
        <v>0</v>
      </c>
    </row>
    <row r="22" spans="1:23" ht="47.1" customHeight="1">
      <c r="A22" s="87">
        <v>18</v>
      </c>
      <c r="B22" s="139">
        <f t="shared" si="4"/>
        <v>4</v>
      </c>
      <c r="C22" s="44"/>
      <c r="D22" s="46"/>
      <c r="E22" s="49"/>
      <c r="F22" s="111"/>
      <c r="G22" s="111"/>
      <c r="H22" s="112">
        <f t="shared" si="0"/>
        <v>0</v>
      </c>
      <c r="I22" s="50"/>
      <c r="J22" s="49"/>
      <c r="K22" s="111"/>
      <c r="L22" s="111"/>
      <c r="M22" s="112">
        <f t="shared" si="1"/>
        <v>0</v>
      </c>
      <c r="N22" s="50"/>
      <c r="O22" s="49"/>
      <c r="P22" s="111"/>
      <c r="Q22" s="111"/>
      <c r="R22" s="112">
        <f t="shared" si="2"/>
        <v>0</v>
      </c>
      <c r="S22" s="50"/>
      <c r="T22" s="115">
        <f t="shared" si="3"/>
        <v>0</v>
      </c>
      <c r="U22" s="90">
        <f t="shared" si="5"/>
        <v>0</v>
      </c>
      <c r="W22" s="133">
        <f t="shared" si="6"/>
        <v>0</v>
      </c>
    </row>
    <row r="23" spans="1:23" ht="47.1" customHeight="1">
      <c r="A23" s="87">
        <v>19</v>
      </c>
      <c r="B23" s="139">
        <f t="shared" si="4"/>
        <v>4</v>
      </c>
      <c r="C23" s="44"/>
      <c r="D23" s="46"/>
      <c r="E23" s="49"/>
      <c r="F23" s="111"/>
      <c r="G23" s="111"/>
      <c r="H23" s="112">
        <f t="shared" si="0"/>
        <v>0</v>
      </c>
      <c r="I23" s="50"/>
      <c r="J23" s="49"/>
      <c r="K23" s="111"/>
      <c r="L23" s="111"/>
      <c r="M23" s="112">
        <f t="shared" si="1"/>
        <v>0</v>
      </c>
      <c r="N23" s="50"/>
      <c r="O23" s="49"/>
      <c r="P23" s="111"/>
      <c r="Q23" s="111"/>
      <c r="R23" s="112">
        <f t="shared" si="2"/>
        <v>0</v>
      </c>
      <c r="S23" s="50"/>
      <c r="T23" s="115">
        <f t="shared" si="3"/>
        <v>0</v>
      </c>
      <c r="U23" s="90">
        <f t="shared" si="5"/>
        <v>0</v>
      </c>
      <c r="W23" s="133">
        <f t="shared" si="6"/>
        <v>0</v>
      </c>
    </row>
    <row r="24" spans="1:23" ht="47.1" customHeight="1">
      <c r="A24" s="87">
        <v>20</v>
      </c>
      <c r="B24" s="139">
        <f t="shared" si="4"/>
        <v>4</v>
      </c>
      <c r="C24" s="44"/>
      <c r="D24" s="46"/>
      <c r="E24" s="49"/>
      <c r="F24" s="111"/>
      <c r="G24" s="111"/>
      <c r="H24" s="112">
        <f t="shared" si="0"/>
        <v>0</v>
      </c>
      <c r="I24" s="50"/>
      <c r="J24" s="49"/>
      <c r="K24" s="111"/>
      <c r="L24" s="111"/>
      <c r="M24" s="112">
        <f t="shared" si="1"/>
        <v>0</v>
      </c>
      <c r="N24" s="50"/>
      <c r="O24" s="49"/>
      <c r="P24" s="111"/>
      <c r="Q24" s="111"/>
      <c r="R24" s="112">
        <f t="shared" si="2"/>
        <v>0</v>
      </c>
      <c r="S24" s="50"/>
      <c r="T24" s="115">
        <f t="shared" si="3"/>
        <v>0</v>
      </c>
      <c r="U24" s="90">
        <f t="shared" si="5"/>
        <v>0</v>
      </c>
      <c r="W24" s="133">
        <f t="shared" si="6"/>
        <v>0</v>
      </c>
    </row>
    <row r="25" spans="1:23" ht="47.1" customHeight="1">
      <c r="A25" s="87">
        <v>21</v>
      </c>
      <c r="B25" s="139">
        <f t="shared" si="4"/>
        <v>4</v>
      </c>
      <c r="C25" s="44"/>
      <c r="D25" s="46"/>
      <c r="E25" s="49"/>
      <c r="F25" s="111"/>
      <c r="G25" s="111"/>
      <c r="H25" s="112">
        <f t="shared" si="0"/>
        <v>0</v>
      </c>
      <c r="I25" s="50"/>
      <c r="J25" s="49"/>
      <c r="K25" s="111"/>
      <c r="L25" s="111"/>
      <c r="M25" s="112">
        <f t="shared" si="1"/>
        <v>0</v>
      </c>
      <c r="N25" s="50"/>
      <c r="O25" s="49"/>
      <c r="P25" s="111"/>
      <c r="Q25" s="111"/>
      <c r="R25" s="112">
        <f t="shared" si="2"/>
        <v>0</v>
      </c>
      <c r="S25" s="50"/>
      <c r="T25" s="115">
        <f t="shared" si="3"/>
        <v>0</v>
      </c>
      <c r="U25" s="90">
        <f t="shared" si="5"/>
        <v>0</v>
      </c>
      <c r="W25" s="133">
        <f t="shared" si="6"/>
        <v>0</v>
      </c>
    </row>
    <row r="26" spans="1:23" ht="47.1" customHeight="1">
      <c r="A26" s="87">
        <v>22</v>
      </c>
      <c r="B26" s="139">
        <f t="shared" si="4"/>
        <v>4</v>
      </c>
      <c r="C26" s="44"/>
      <c r="D26" s="46"/>
      <c r="E26" s="49"/>
      <c r="F26" s="111"/>
      <c r="G26" s="111"/>
      <c r="H26" s="112">
        <f t="shared" si="0"/>
        <v>0</v>
      </c>
      <c r="I26" s="50"/>
      <c r="J26" s="49"/>
      <c r="K26" s="111"/>
      <c r="L26" s="111"/>
      <c r="M26" s="112">
        <f t="shared" si="1"/>
        <v>0</v>
      </c>
      <c r="N26" s="50"/>
      <c r="O26" s="49"/>
      <c r="P26" s="111"/>
      <c r="Q26" s="111"/>
      <c r="R26" s="112">
        <f t="shared" si="2"/>
        <v>0</v>
      </c>
      <c r="S26" s="50"/>
      <c r="T26" s="115">
        <f t="shared" si="3"/>
        <v>0</v>
      </c>
      <c r="U26" s="90">
        <f t="shared" si="5"/>
        <v>0</v>
      </c>
      <c r="W26" s="133">
        <f t="shared" si="6"/>
        <v>0</v>
      </c>
    </row>
    <row r="27" spans="1:23" ht="47.1" customHeight="1">
      <c r="A27" s="87">
        <v>23</v>
      </c>
      <c r="B27" s="139">
        <f t="shared" si="4"/>
        <v>4</v>
      </c>
      <c r="C27" s="44"/>
      <c r="D27" s="46"/>
      <c r="E27" s="49"/>
      <c r="F27" s="111"/>
      <c r="G27" s="111"/>
      <c r="H27" s="112">
        <f t="shared" si="0"/>
        <v>0</v>
      </c>
      <c r="I27" s="50"/>
      <c r="J27" s="49"/>
      <c r="K27" s="111"/>
      <c r="L27" s="111"/>
      <c r="M27" s="112">
        <f t="shared" si="1"/>
        <v>0</v>
      </c>
      <c r="N27" s="50"/>
      <c r="O27" s="49"/>
      <c r="P27" s="111"/>
      <c r="Q27" s="111"/>
      <c r="R27" s="112">
        <f t="shared" si="2"/>
        <v>0</v>
      </c>
      <c r="S27" s="50"/>
      <c r="T27" s="115">
        <f t="shared" si="3"/>
        <v>0</v>
      </c>
      <c r="U27" s="90">
        <f t="shared" si="5"/>
        <v>0</v>
      </c>
      <c r="W27" s="133">
        <f t="shared" si="6"/>
        <v>0</v>
      </c>
    </row>
    <row r="28" spans="1:23" ht="47.1" customHeight="1">
      <c r="A28" s="87">
        <v>24</v>
      </c>
      <c r="B28" s="139">
        <f t="shared" si="4"/>
        <v>4</v>
      </c>
      <c r="C28" s="44"/>
      <c r="D28" s="46"/>
      <c r="E28" s="49"/>
      <c r="F28" s="111"/>
      <c r="G28" s="111"/>
      <c r="H28" s="112">
        <f t="shared" si="0"/>
        <v>0</v>
      </c>
      <c r="I28" s="50"/>
      <c r="J28" s="49"/>
      <c r="K28" s="111"/>
      <c r="L28" s="111"/>
      <c r="M28" s="112">
        <f t="shared" si="1"/>
        <v>0</v>
      </c>
      <c r="N28" s="50"/>
      <c r="O28" s="49"/>
      <c r="P28" s="111"/>
      <c r="Q28" s="111"/>
      <c r="R28" s="112">
        <f t="shared" si="2"/>
        <v>0</v>
      </c>
      <c r="S28" s="50"/>
      <c r="T28" s="115">
        <f t="shared" si="3"/>
        <v>0</v>
      </c>
      <c r="U28" s="90">
        <f t="shared" si="5"/>
        <v>0</v>
      </c>
      <c r="W28" s="133">
        <f t="shared" si="6"/>
        <v>0</v>
      </c>
    </row>
    <row r="29" spans="1:23" ht="47.1" customHeight="1">
      <c r="A29" s="87">
        <v>25</v>
      </c>
      <c r="B29" s="139">
        <f t="shared" si="4"/>
        <v>4</v>
      </c>
      <c r="C29" s="44"/>
      <c r="D29" s="46"/>
      <c r="E29" s="49"/>
      <c r="F29" s="111"/>
      <c r="G29" s="111"/>
      <c r="H29" s="112">
        <f t="shared" si="0"/>
        <v>0</v>
      </c>
      <c r="I29" s="50"/>
      <c r="J29" s="49"/>
      <c r="K29" s="111"/>
      <c r="L29" s="111"/>
      <c r="M29" s="112">
        <f t="shared" si="1"/>
        <v>0</v>
      </c>
      <c r="N29" s="50"/>
      <c r="O29" s="49"/>
      <c r="P29" s="111"/>
      <c r="Q29" s="111"/>
      <c r="R29" s="112">
        <f t="shared" si="2"/>
        <v>0</v>
      </c>
      <c r="S29" s="50"/>
      <c r="T29" s="115">
        <f t="shared" si="3"/>
        <v>0</v>
      </c>
      <c r="U29" s="90">
        <f t="shared" si="5"/>
        <v>0</v>
      </c>
      <c r="W29" s="133">
        <f t="shared" si="6"/>
        <v>0</v>
      </c>
    </row>
    <row r="30" spans="1:23" ht="47.1" customHeight="1">
      <c r="A30" s="87">
        <v>26</v>
      </c>
      <c r="B30" s="139">
        <f t="shared" si="4"/>
        <v>4</v>
      </c>
      <c r="C30" s="44"/>
      <c r="D30" s="46"/>
      <c r="E30" s="49"/>
      <c r="F30" s="111"/>
      <c r="G30" s="111"/>
      <c r="H30" s="112">
        <f t="shared" si="0"/>
        <v>0</v>
      </c>
      <c r="I30" s="50"/>
      <c r="J30" s="49"/>
      <c r="K30" s="111"/>
      <c r="L30" s="111"/>
      <c r="M30" s="112">
        <f t="shared" si="1"/>
        <v>0</v>
      </c>
      <c r="N30" s="50"/>
      <c r="O30" s="49"/>
      <c r="P30" s="111"/>
      <c r="Q30" s="111"/>
      <c r="R30" s="112">
        <f t="shared" si="2"/>
        <v>0</v>
      </c>
      <c r="S30" s="50"/>
      <c r="T30" s="115">
        <f t="shared" si="3"/>
        <v>0</v>
      </c>
      <c r="U30" s="90">
        <f t="shared" si="5"/>
        <v>0</v>
      </c>
      <c r="W30" s="133">
        <f t="shared" si="6"/>
        <v>0</v>
      </c>
    </row>
    <row r="31" spans="1:23" ht="47.1" customHeight="1">
      <c r="A31" s="87">
        <v>27</v>
      </c>
      <c r="B31" s="139">
        <f t="shared" si="4"/>
        <v>4</v>
      </c>
      <c r="C31" s="44"/>
      <c r="D31" s="46"/>
      <c r="E31" s="49"/>
      <c r="F31" s="111"/>
      <c r="G31" s="111"/>
      <c r="H31" s="112">
        <f t="shared" si="0"/>
        <v>0</v>
      </c>
      <c r="I31" s="50"/>
      <c r="J31" s="49"/>
      <c r="K31" s="111"/>
      <c r="L31" s="111"/>
      <c r="M31" s="112">
        <f t="shared" si="1"/>
        <v>0</v>
      </c>
      <c r="N31" s="50"/>
      <c r="O31" s="49"/>
      <c r="P31" s="111"/>
      <c r="Q31" s="111"/>
      <c r="R31" s="112">
        <f t="shared" si="2"/>
        <v>0</v>
      </c>
      <c r="S31" s="50"/>
      <c r="T31" s="115">
        <f t="shared" si="3"/>
        <v>0</v>
      </c>
      <c r="U31" s="90">
        <f t="shared" si="5"/>
        <v>0</v>
      </c>
      <c r="W31" s="133">
        <f t="shared" si="6"/>
        <v>0</v>
      </c>
    </row>
    <row r="32" spans="1:23" ht="47.1" customHeight="1">
      <c r="A32" s="87">
        <v>28</v>
      </c>
      <c r="B32" s="139">
        <f t="shared" si="4"/>
        <v>4</v>
      </c>
      <c r="C32" s="44"/>
      <c r="D32" s="46"/>
      <c r="E32" s="49"/>
      <c r="F32" s="111"/>
      <c r="G32" s="111"/>
      <c r="H32" s="112">
        <f t="shared" si="0"/>
        <v>0</v>
      </c>
      <c r="I32" s="50"/>
      <c r="J32" s="49"/>
      <c r="K32" s="111"/>
      <c r="L32" s="111"/>
      <c r="M32" s="112">
        <f t="shared" si="1"/>
        <v>0</v>
      </c>
      <c r="N32" s="50"/>
      <c r="O32" s="49"/>
      <c r="P32" s="111"/>
      <c r="Q32" s="111"/>
      <c r="R32" s="112">
        <f t="shared" si="2"/>
        <v>0</v>
      </c>
      <c r="S32" s="50"/>
      <c r="T32" s="115">
        <f t="shared" si="3"/>
        <v>0</v>
      </c>
      <c r="U32" s="90">
        <f t="shared" si="5"/>
        <v>0</v>
      </c>
      <c r="W32" s="133">
        <f t="shared" si="6"/>
        <v>0</v>
      </c>
    </row>
    <row r="33" spans="1:23" ht="47.1" customHeight="1">
      <c r="A33" s="87">
        <v>29</v>
      </c>
      <c r="B33" s="139">
        <f t="shared" si="4"/>
        <v>4</v>
      </c>
      <c r="C33" s="44"/>
      <c r="D33" s="46"/>
      <c r="E33" s="49"/>
      <c r="F33" s="111"/>
      <c r="G33" s="111"/>
      <c r="H33" s="112">
        <f t="shared" si="0"/>
        <v>0</v>
      </c>
      <c r="I33" s="50"/>
      <c r="J33" s="49"/>
      <c r="K33" s="111"/>
      <c r="L33" s="111"/>
      <c r="M33" s="112">
        <f t="shared" si="1"/>
        <v>0</v>
      </c>
      <c r="N33" s="50"/>
      <c r="O33" s="49"/>
      <c r="P33" s="111"/>
      <c r="Q33" s="111"/>
      <c r="R33" s="112">
        <f t="shared" si="2"/>
        <v>0</v>
      </c>
      <c r="S33" s="50"/>
      <c r="T33" s="115">
        <f t="shared" si="3"/>
        <v>0</v>
      </c>
      <c r="U33" s="90">
        <f t="shared" si="5"/>
        <v>0</v>
      </c>
      <c r="W33" s="133">
        <f t="shared" si="6"/>
        <v>0</v>
      </c>
    </row>
    <row r="34" spans="1:23" ht="47.1" customHeight="1">
      <c r="A34" s="87">
        <v>30</v>
      </c>
      <c r="B34" s="139">
        <f t="shared" si="4"/>
        <v>4</v>
      </c>
      <c r="C34" s="44"/>
      <c r="D34" s="46"/>
      <c r="E34" s="49"/>
      <c r="F34" s="111"/>
      <c r="G34" s="111"/>
      <c r="H34" s="112">
        <f t="shared" si="0"/>
        <v>0</v>
      </c>
      <c r="I34" s="50"/>
      <c r="J34" s="49"/>
      <c r="K34" s="111"/>
      <c r="L34" s="111"/>
      <c r="M34" s="112">
        <f t="shared" si="1"/>
        <v>0</v>
      </c>
      <c r="N34" s="50"/>
      <c r="O34" s="49"/>
      <c r="P34" s="111"/>
      <c r="Q34" s="111"/>
      <c r="R34" s="112">
        <f t="shared" si="2"/>
        <v>0</v>
      </c>
      <c r="S34" s="50"/>
      <c r="T34" s="115">
        <f t="shared" si="3"/>
        <v>0</v>
      </c>
      <c r="U34" s="90">
        <f t="shared" si="5"/>
        <v>0</v>
      </c>
      <c r="W34" s="133">
        <f t="shared" si="6"/>
        <v>0</v>
      </c>
    </row>
    <row r="35" spans="1:23" ht="47.1" customHeight="1">
      <c r="A35" s="87">
        <v>31</v>
      </c>
      <c r="B35" s="139">
        <f t="shared" si="4"/>
        <v>4</v>
      </c>
      <c r="C35" s="44"/>
      <c r="D35" s="46"/>
      <c r="E35" s="49"/>
      <c r="F35" s="111"/>
      <c r="G35" s="111"/>
      <c r="H35" s="112">
        <f t="shared" si="0"/>
        <v>0</v>
      </c>
      <c r="I35" s="50"/>
      <c r="J35" s="49"/>
      <c r="K35" s="111"/>
      <c r="L35" s="111"/>
      <c r="M35" s="112">
        <f t="shared" si="1"/>
        <v>0</v>
      </c>
      <c r="N35" s="50"/>
      <c r="O35" s="49"/>
      <c r="P35" s="111"/>
      <c r="Q35" s="111"/>
      <c r="R35" s="112">
        <f t="shared" si="2"/>
        <v>0</v>
      </c>
      <c r="S35" s="50"/>
      <c r="T35" s="115">
        <f t="shared" si="3"/>
        <v>0</v>
      </c>
      <c r="U35" s="90">
        <f t="shared" si="5"/>
        <v>0</v>
      </c>
      <c r="W35" s="133">
        <f t="shared" si="6"/>
        <v>0</v>
      </c>
    </row>
    <row r="36" spans="1:23" ht="47.1" customHeight="1">
      <c r="A36" s="87">
        <v>32</v>
      </c>
      <c r="B36" s="139">
        <f t="shared" si="4"/>
        <v>4</v>
      </c>
      <c r="C36" s="44"/>
      <c r="D36" s="46"/>
      <c r="E36" s="49"/>
      <c r="F36" s="111"/>
      <c r="G36" s="111"/>
      <c r="H36" s="112">
        <f t="shared" si="0"/>
        <v>0</v>
      </c>
      <c r="I36" s="50"/>
      <c r="J36" s="49"/>
      <c r="K36" s="111"/>
      <c r="L36" s="111"/>
      <c r="M36" s="112">
        <f t="shared" si="1"/>
        <v>0</v>
      </c>
      <c r="N36" s="50"/>
      <c r="O36" s="49"/>
      <c r="P36" s="111"/>
      <c r="Q36" s="111"/>
      <c r="R36" s="112">
        <f t="shared" si="2"/>
        <v>0</v>
      </c>
      <c r="S36" s="50"/>
      <c r="T36" s="115">
        <f t="shared" si="3"/>
        <v>0</v>
      </c>
      <c r="U36" s="90">
        <f t="shared" si="5"/>
        <v>0</v>
      </c>
      <c r="W36" s="133">
        <f t="shared" si="6"/>
        <v>0</v>
      </c>
    </row>
    <row r="37" spans="1:23" ht="47.1" customHeight="1">
      <c r="A37" s="87">
        <v>33</v>
      </c>
      <c r="B37" s="139">
        <f t="shared" si="4"/>
        <v>4</v>
      </c>
      <c r="C37" s="44"/>
      <c r="D37" s="46"/>
      <c r="E37" s="49"/>
      <c r="F37" s="111"/>
      <c r="G37" s="111"/>
      <c r="H37" s="112">
        <f t="shared" si="0"/>
        <v>0</v>
      </c>
      <c r="I37" s="50"/>
      <c r="J37" s="49"/>
      <c r="K37" s="111"/>
      <c r="L37" s="111"/>
      <c r="M37" s="112">
        <f t="shared" si="1"/>
        <v>0</v>
      </c>
      <c r="N37" s="50"/>
      <c r="O37" s="49"/>
      <c r="P37" s="111"/>
      <c r="Q37" s="111"/>
      <c r="R37" s="112">
        <f t="shared" si="2"/>
        <v>0</v>
      </c>
      <c r="S37" s="50"/>
      <c r="T37" s="115">
        <f t="shared" si="3"/>
        <v>0</v>
      </c>
      <c r="U37" s="90">
        <f t="shared" si="5"/>
        <v>0</v>
      </c>
      <c r="W37" s="133">
        <f t="shared" si="6"/>
        <v>0</v>
      </c>
    </row>
    <row r="38" spans="1:23" ht="47.1" customHeight="1">
      <c r="A38" s="87">
        <v>34</v>
      </c>
      <c r="B38" s="139">
        <f t="shared" si="4"/>
        <v>4</v>
      </c>
      <c r="C38" s="44"/>
      <c r="D38" s="46"/>
      <c r="E38" s="49"/>
      <c r="F38" s="111"/>
      <c r="G38" s="111"/>
      <c r="H38" s="112">
        <f t="shared" si="0"/>
        <v>0</v>
      </c>
      <c r="I38" s="50"/>
      <c r="J38" s="49"/>
      <c r="K38" s="111"/>
      <c r="L38" s="111"/>
      <c r="M38" s="112">
        <f t="shared" si="1"/>
        <v>0</v>
      </c>
      <c r="N38" s="50"/>
      <c r="O38" s="49"/>
      <c r="P38" s="111"/>
      <c r="Q38" s="111"/>
      <c r="R38" s="112">
        <f t="shared" si="2"/>
        <v>0</v>
      </c>
      <c r="S38" s="50"/>
      <c r="T38" s="115">
        <f t="shared" si="3"/>
        <v>0</v>
      </c>
      <c r="U38" s="90">
        <f t="shared" si="5"/>
        <v>0</v>
      </c>
      <c r="W38" s="133">
        <f t="shared" si="6"/>
        <v>0</v>
      </c>
    </row>
    <row r="39" spans="1:23" ht="47.1" customHeight="1">
      <c r="A39" s="87">
        <v>35</v>
      </c>
      <c r="B39" s="139">
        <f t="shared" si="4"/>
        <v>4</v>
      </c>
      <c r="C39" s="44"/>
      <c r="D39" s="46"/>
      <c r="E39" s="49"/>
      <c r="F39" s="111"/>
      <c r="G39" s="111"/>
      <c r="H39" s="112">
        <f t="shared" si="0"/>
        <v>0</v>
      </c>
      <c r="I39" s="50"/>
      <c r="J39" s="49"/>
      <c r="K39" s="111"/>
      <c r="L39" s="111"/>
      <c r="M39" s="112">
        <f t="shared" si="1"/>
        <v>0</v>
      </c>
      <c r="N39" s="50"/>
      <c r="O39" s="49"/>
      <c r="P39" s="111"/>
      <c r="Q39" s="111"/>
      <c r="R39" s="112">
        <f t="shared" si="2"/>
        <v>0</v>
      </c>
      <c r="S39" s="50"/>
      <c r="T39" s="115">
        <f t="shared" si="3"/>
        <v>0</v>
      </c>
      <c r="U39" s="90">
        <f t="shared" si="5"/>
        <v>0</v>
      </c>
      <c r="W39" s="133">
        <f t="shared" si="6"/>
        <v>0</v>
      </c>
    </row>
    <row r="40" spans="1:23" ht="47.1" customHeight="1">
      <c r="A40" s="87">
        <v>36</v>
      </c>
      <c r="B40" s="139">
        <f t="shared" si="4"/>
        <v>4</v>
      </c>
      <c r="C40" s="44"/>
      <c r="D40" s="46"/>
      <c r="E40" s="49"/>
      <c r="F40" s="111"/>
      <c r="G40" s="111"/>
      <c r="H40" s="112">
        <f t="shared" si="0"/>
        <v>0</v>
      </c>
      <c r="I40" s="50"/>
      <c r="J40" s="49"/>
      <c r="K40" s="111"/>
      <c r="L40" s="111"/>
      <c r="M40" s="112">
        <f t="shared" si="1"/>
        <v>0</v>
      </c>
      <c r="N40" s="50"/>
      <c r="O40" s="49"/>
      <c r="P40" s="111"/>
      <c r="Q40" s="111"/>
      <c r="R40" s="112">
        <f t="shared" si="2"/>
        <v>0</v>
      </c>
      <c r="S40" s="50"/>
      <c r="T40" s="115">
        <f t="shared" si="3"/>
        <v>0</v>
      </c>
      <c r="U40" s="90">
        <f t="shared" si="5"/>
        <v>0</v>
      </c>
      <c r="W40" s="133">
        <f t="shared" si="6"/>
        <v>0</v>
      </c>
    </row>
    <row r="41" spans="1:23" ht="47.1" customHeight="1">
      <c r="A41" s="87">
        <v>37</v>
      </c>
      <c r="B41" s="139">
        <f t="shared" si="4"/>
        <v>4</v>
      </c>
      <c r="C41" s="44"/>
      <c r="D41" s="46"/>
      <c r="E41" s="49"/>
      <c r="F41" s="111"/>
      <c r="G41" s="111"/>
      <c r="H41" s="112">
        <f t="shared" si="0"/>
        <v>0</v>
      </c>
      <c r="I41" s="50"/>
      <c r="J41" s="49"/>
      <c r="K41" s="111"/>
      <c r="L41" s="111"/>
      <c r="M41" s="112">
        <f t="shared" si="1"/>
        <v>0</v>
      </c>
      <c r="N41" s="50"/>
      <c r="O41" s="49"/>
      <c r="P41" s="111"/>
      <c r="Q41" s="111"/>
      <c r="R41" s="112">
        <f t="shared" si="2"/>
        <v>0</v>
      </c>
      <c r="S41" s="50"/>
      <c r="T41" s="115">
        <f t="shared" si="3"/>
        <v>0</v>
      </c>
      <c r="U41" s="90">
        <f t="shared" si="5"/>
        <v>0</v>
      </c>
      <c r="W41" s="133">
        <f t="shared" si="6"/>
        <v>0</v>
      </c>
    </row>
    <row r="42" spans="1:23" ht="47.1" customHeight="1">
      <c r="A42" s="87">
        <v>38</v>
      </c>
      <c r="B42" s="139">
        <f t="shared" si="4"/>
        <v>4</v>
      </c>
      <c r="C42" s="44"/>
      <c r="D42" s="46"/>
      <c r="E42" s="49"/>
      <c r="F42" s="111"/>
      <c r="G42" s="111"/>
      <c r="H42" s="112">
        <f t="shared" si="0"/>
        <v>0</v>
      </c>
      <c r="I42" s="50"/>
      <c r="J42" s="49"/>
      <c r="K42" s="111"/>
      <c r="L42" s="111"/>
      <c r="M42" s="112">
        <f t="shared" si="1"/>
        <v>0</v>
      </c>
      <c r="N42" s="50"/>
      <c r="O42" s="49"/>
      <c r="P42" s="111"/>
      <c r="Q42" s="111"/>
      <c r="R42" s="112">
        <f t="shared" si="2"/>
        <v>0</v>
      </c>
      <c r="S42" s="50"/>
      <c r="T42" s="115">
        <f t="shared" si="3"/>
        <v>0</v>
      </c>
      <c r="U42" s="90">
        <f t="shared" si="5"/>
        <v>0</v>
      </c>
      <c r="W42" s="133">
        <f t="shared" si="6"/>
        <v>0</v>
      </c>
    </row>
    <row r="43" spans="1:23" ht="47.1" customHeight="1">
      <c r="A43" s="87">
        <v>39</v>
      </c>
      <c r="B43" s="139">
        <f t="shared" si="4"/>
        <v>4</v>
      </c>
      <c r="C43" s="44"/>
      <c r="D43" s="46"/>
      <c r="E43" s="49"/>
      <c r="F43" s="111"/>
      <c r="G43" s="111"/>
      <c r="H43" s="112">
        <f t="shared" si="0"/>
        <v>0</v>
      </c>
      <c r="I43" s="50"/>
      <c r="J43" s="49"/>
      <c r="K43" s="111"/>
      <c r="L43" s="111"/>
      <c r="M43" s="112">
        <f t="shared" si="1"/>
        <v>0</v>
      </c>
      <c r="N43" s="50"/>
      <c r="O43" s="49"/>
      <c r="P43" s="111"/>
      <c r="Q43" s="111"/>
      <c r="R43" s="112">
        <f t="shared" si="2"/>
        <v>0</v>
      </c>
      <c r="S43" s="50"/>
      <c r="T43" s="115">
        <f t="shared" si="3"/>
        <v>0</v>
      </c>
      <c r="U43" s="90">
        <f t="shared" si="5"/>
        <v>0</v>
      </c>
      <c r="W43" s="133">
        <f t="shared" si="6"/>
        <v>0</v>
      </c>
    </row>
    <row r="44" spans="1:23" ht="47.1" customHeight="1" thickBot="1">
      <c r="A44" s="88">
        <v>40</v>
      </c>
      <c r="B44" s="140">
        <f t="shared" si="4"/>
        <v>4</v>
      </c>
      <c r="C44" s="47"/>
      <c r="D44" s="48"/>
      <c r="E44" s="51"/>
      <c r="F44" s="113"/>
      <c r="G44" s="113"/>
      <c r="H44" s="94">
        <f t="shared" si="0"/>
        <v>0</v>
      </c>
      <c r="I44" s="52"/>
      <c r="J44" s="51"/>
      <c r="K44" s="113"/>
      <c r="L44" s="113"/>
      <c r="M44" s="94">
        <f t="shared" si="1"/>
        <v>0</v>
      </c>
      <c r="N44" s="52"/>
      <c r="O44" s="51"/>
      <c r="P44" s="113"/>
      <c r="Q44" s="113"/>
      <c r="R44" s="94">
        <f t="shared" si="2"/>
        <v>0</v>
      </c>
      <c r="S44" s="52"/>
      <c r="T44" s="116">
        <f t="shared" si="3"/>
        <v>0</v>
      </c>
      <c r="U44" s="91">
        <f t="shared" si="5"/>
        <v>0</v>
      </c>
      <c r="W44" s="133">
        <f t="shared" si="6"/>
        <v>0</v>
      </c>
    </row>
    <row r="45" spans="1:23" ht="41.25" thickTop="1"/>
  </sheetData>
  <sheetProtection password="CF6D" sheet="1" objects="1" scenarios="1" formatColumns="0" selectLockedCells="1"/>
  <mergeCells count="16">
    <mergeCell ref="A1:U2"/>
    <mergeCell ref="K3:L3"/>
    <mergeCell ref="T3:T4"/>
    <mergeCell ref="U3:U4"/>
    <mergeCell ref="B3:B4"/>
    <mergeCell ref="I3:I4"/>
    <mergeCell ref="N3:N4"/>
    <mergeCell ref="S3:S4"/>
    <mergeCell ref="M3:M4"/>
    <mergeCell ref="P3:Q3"/>
    <mergeCell ref="R3:R4"/>
    <mergeCell ref="A3:A4"/>
    <mergeCell ref="C3:C4"/>
    <mergeCell ref="D3:D4"/>
    <mergeCell ref="F3:G3"/>
    <mergeCell ref="H3:H4"/>
  </mergeCells>
  <phoneticPr fontId="2" type="noConversion"/>
  <printOptions horizontalCentered="1" verticalCentered="1"/>
  <pageMargins left="0" right="0" top="0" bottom="0" header="0.19685039370078741" footer="0.19685039370078741"/>
  <pageSetup paperSize="9" scale="27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U44"/>
  <sheetViews>
    <sheetView showGridLines="0" zoomScale="50" zoomScaleNormal="50" zoomScaleSheetLayoutView="40" zoomScalePageLayoutView="35" workbookViewId="0"/>
  </sheetViews>
  <sheetFormatPr baseColWidth="10" defaultColWidth="10.625" defaultRowHeight="40.5"/>
  <cols>
    <col min="1" max="1" width="15.875" style="3" customWidth="1"/>
    <col min="2" max="2" width="49.125" style="4" customWidth="1"/>
    <col min="3" max="3" width="21.125" style="4" customWidth="1"/>
    <col min="4" max="4" width="46.375" style="4" customWidth="1"/>
    <col min="5" max="7" width="14.5" style="5" customWidth="1"/>
    <col min="8" max="8" width="0.125" style="5" customWidth="1"/>
    <col min="9" max="9" width="48.125" style="4" customWidth="1"/>
    <col min="10" max="11" width="14.5" style="5" customWidth="1"/>
    <col min="12" max="12" width="14" style="5" customWidth="1"/>
    <col min="13" max="13" width="10.5" style="5" hidden="1" customWidth="1"/>
    <col min="14" max="14" width="50.625" style="4" customWidth="1"/>
    <col min="15" max="17" width="14.625" style="5" customWidth="1"/>
    <col min="18" max="18" width="10.625" style="5" hidden="1" customWidth="1"/>
    <col min="19" max="19" width="16.625" style="5" bestFit="1" customWidth="1"/>
    <col min="20" max="20" width="8.5" style="2" hidden="1" customWidth="1"/>
    <col min="21" max="21" width="4.5" style="3" customWidth="1"/>
    <col min="22" max="22" width="19.125" style="3" customWidth="1"/>
    <col min="23" max="23" width="4.5" style="3" customWidth="1"/>
    <col min="24" max="24" width="6.875" style="3" customWidth="1"/>
    <col min="25" max="25" width="3.125" style="3" customWidth="1"/>
    <col min="26" max="26" width="1" style="3" customWidth="1"/>
    <col min="27" max="27" width="9.5" style="3" customWidth="1"/>
    <col min="28" max="28" width="9.625" style="3" customWidth="1"/>
    <col min="29" max="16384" width="10.625" style="3"/>
  </cols>
  <sheetData>
    <row r="1" spans="1:21" ht="146.1" customHeight="1">
      <c r="A1" s="134"/>
      <c r="B1" s="135"/>
      <c r="C1" s="135"/>
      <c r="D1" s="135"/>
      <c r="E1" s="136"/>
      <c r="F1" s="136"/>
      <c r="G1" s="136"/>
      <c r="H1" s="136"/>
      <c r="I1" s="135"/>
      <c r="J1" s="136"/>
      <c r="K1" s="136"/>
      <c r="L1" s="136"/>
      <c r="M1" s="136"/>
      <c r="N1" s="135"/>
      <c r="O1" s="136"/>
      <c r="P1" s="136"/>
      <c r="Q1" s="136"/>
      <c r="R1" s="136"/>
      <c r="S1" s="136"/>
      <c r="T1" s="137"/>
    </row>
    <row r="2" spans="1:21" ht="59.1" customHeight="1">
      <c r="A2" s="168" t="str">
        <f>CONCATENATE("MATCH DE QUALIFICATION"," - ",INFO!B7," - ",INFO!B9)</f>
        <v>MATCH DE QUALIFICATION - CARABINE - MIDI-PYRENEES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</row>
    <row r="3" spans="1:21" ht="30" customHeight="1">
      <c r="A3" s="170" t="s">
        <v>60</v>
      </c>
      <c r="B3" s="173" t="s">
        <v>7</v>
      </c>
      <c r="C3" s="173" t="s">
        <v>38</v>
      </c>
      <c r="D3" s="62" t="s">
        <v>24</v>
      </c>
      <c r="E3" s="169" t="s">
        <v>42</v>
      </c>
      <c r="F3" s="169"/>
      <c r="G3" s="171" t="s">
        <v>43</v>
      </c>
      <c r="H3" s="169" t="s">
        <v>51</v>
      </c>
      <c r="I3" s="62" t="s">
        <v>24</v>
      </c>
      <c r="J3" s="169" t="s">
        <v>42</v>
      </c>
      <c r="K3" s="169"/>
      <c r="L3" s="171" t="s">
        <v>43</v>
      </c>
      <c r="M3" s="169" t="s">
        <v>51</v>
      </c>
      <c r="N3" s="62" t="s">
        <v>24</v>
      </c>
      <c r="O3" s="169" t="s">
        <v>42</v>
      </c>
      <c r="P3" s="169"/>
      <c r="Q3" s="171" t="s">
        <v>43</v>
      </c>
      <c r="R3" s="169" t="s">
        <v>51</v>
      </c>
      <c r="S3" s="174" t="s">
        <v>8</v>
      </c>
      <c r="T3" s="172" t="s">
        <v>9</v>
      </c>
      <c r="U3" s="17"/>
    </row>
    <row r="4" spans="1:21" ht="44.1" customHeight="1">
      <c r="A4" s="170"/>
      <c r="B4" s="173"/>
      <c r="C4" s="173"/>
      <c r="D4" s="62" t="s">
        <v>36</v>
      </c>
      <c r="E4" s="107">
        <v>1</v>
      </c>
      <c r="F4" s="107">
        <v>2</v>
      </c>
      <c r="G4" s="171"/>
      <c r="H4" s="169"/>
      <c r="I4" s="62" t="s">
        <v>35</v>
      </c>
      <c r="J4" s="107">
        <v>1</v>
      </c>
      <c r="K4" s="107">
        <v>2</v>
      </c>
      <c r="L4" s="171"/>
      <c r="M4" s="169"/>
      <c r="N4" s="62" t="s">
        <v>37</v>
      </c>
      <c r="O4" s="107">
        <v>1</v>
      </c>
      <c r="P4" s="107">
        <v>2</v>
      </c>
      <c r="Q4" s="171"/>
      <c r="R4" s="169"/>
      <c r="S4" s="174"/>
      <c r="T4" s="172"/>
    </row>
    <row r="5" spans="1:21" ht="47.1" customHeight="1">
      <c r="A5" s="63">
        <v>1</v>
      </c>
      <c r="B5" s="108" t="str">
        <f>VLOOKUP(A5,saisie!B$5:W$44,2,0)</f>
        <v>38 TSM</v>
      </c>
      <c r="C5" s="64">
        <f>VLOOKUP(A5,saisie!B$5:W$44,3,0)</f>
        <v>1931022</v>
      </c>
      <c r="D5" s="62" t="str">
        <f>VLOOKUP(A5,saisie!B$5:W$44,4,0)</f>
        <v>ESTOR Valentin</v>
      </c>
      <c r="E5" s="107">
        <f>VLOOKUP(A5,saisie!B$5:W$44,5,0)</f>
        <v>92.2</v>
      </c>
      <c r="F5" s="107">
        <f>VLOOKUP(A5,saisie!B$5:W$44,6,0)</f>
        <v>80.900000000000006</v>
      </c>
      <c r="G5" s="117">
        <f t="shared" ref="G5:G44" si="0">SUM(E5:F5)</f>
        <v>173.10000000000002</v>
      </c>
      <c r="H5" s="65">
        <f>VLOOKUP(A5,saisie!B$5:W$44,8,0)</f>
        <v>0</v>
      </c>
      <c r="I5" s="62" t="str">
        <f>VLOOKUP(A5,saisie!B$5:W$44,9,0)</f>
        <v>SAFFON Nathanael</v>
      </c>
      <c r="J5" s="107">
        <f>VLOOKUP(A5,saisie!B$5:W$44,10,0)</f>
        <v>80.5</v>
      </c>
      <c r="K5" s="107">
        <f>VLOOKUP(A5,saisie!B$5:W$44,11,0)</f>
        <v>74.7</v>
      </c>
      <c r="L5" s="117">
        <f t="shared" ref="L5:L44" si="1">SUM(J5:K5)</f>
        <v>155.19999999999999</v>
      </c>
      <c r="M5" s="65">
        <f>VLOOKUP(A5,saisie!B$5:W$44,13,0)</f>
        <v>0</v>
      </c>
      <c r="N5" s="62" t="str">
        <f>VLOOKUP(A5,saisie!B$5:W$44,14,0)</f>
        <v>SAVOUREY Victoria</v>
      </c>
      <c r="O5" s="107">
        <f>VLOOKUP(A5,saisie!B$5:W$44,15,0)</f>
        <v>75.900000000000006</v>
      </c>
      <c r="P5" s="107">
        <f>VLOOKUP(A5,saisie!B$5:W$44,16,0)</f>
        <v>81.8</v>
      </c>
      <c r="Q5" s="117">
        <f t="shared" ref="Q5:Q44" si="2">SUM(O5:P5)</f>
        <v>157.69999999999999</v>
      </c>
      <c r="R5" s="65">
        <f>VLOOKUP(A5,saisie!B$5:W$44,18,0)</f>
        <v>0</v>
      </c>
      <c r="S5" s="118">
        <f t="shared" ref="S5:S44" si="3">SUM(G5+L5+Q5)</f>
        <v>486</v>
      </c>
      <c r="T5" s="66">
        <f>VLOOKUP(A5,saisie!B$5:W$44,20,0)</f>
        <v>0</v>
      </c>
    </row>
    <row r="6" spans="1:21" ht="47.1" customHeight="1">
      <c r="A6" s="63">
        <f>IF(INFO!B8&gt;1,2,"")</f>
        <v>2</v>
      </c>
      <c r="B6" s="108" t="str">
        <f>VLOOKUP(A6,saisie!B$5:W$44,2,0)</f>
        <v>CT ST-GAUDINOIS</v>
      </c>
      <c r="C6" s="64" t="str">
        <f>VLOOKUP(A6,saisie!B$5:W$44,3,0)</f>
        <v>19.31.086</v>
      </c>
      <c r="D6" s="62" t="str">
        <f>VLOOKUP(A6,saisie!B$5:W$44,4,0)</f>
        <v>MORANDINI Evan</v>
      </c>
      <c r="E6" s="107">
        <f>VLOOKUP(A6,saisie!B$5:W$44,5,0)</f>
        <v>64.900000000000006</v>
      </c>
      <c r="F6" s="107">
        <f>VLOOKUP(A6,saisie!B$5:W$44,6,0)</f>
        <v>73.400000000000006</v>
      </c>
      <c r="G6" s="117">
        <f t="shared" si="0"/>
        <v>138.30000000000001</v>
      </c>
      <c r="H6" s="65">
        <f>VLOOKUP(A6,saisie!B$5:W$44,8,0)</f>
        <v>0</v>
      </c>
      <c r="I6" s="62" t="str">
        <f>VLOOKUP(A6,saisie!B$5:W$44,9,0)</f>
        <v>RAOUL Jules</v>
      </c>
      <c r="J6" s="107">
        <f>VLOOKUP(A6,saisie!B$5:W$44,10,0)</f>
        <v>54.6</v>
      </c>
      <c r="K6" s="107">
        <f>VLOOKUP(A6,saisie!B$5:W$44,11,0)</f>
        <v>76.5</v>
      </c>
      <c r="L6" s="117">
        <f t="shared" si="1"/>
        <v>131.1</v>
      </c>
      <c r="M6" s="65">
        <f>VLOOKUP(A6,saisie!B$5:W$44,13,0)</f>
        <v>0</v>
      </c>
      <c r="N6" s="62" t="str">
        <f>VLOOKUP(A6,saisie!B$5:W$44,14,0)</f>
        <v>EDARD Thibault</v>
      </c>
      <c r="O6" s="107">
        <f>VLOOKUP(A6,saisie!B$5:W$44,15,0)</f>
        <v>81.7</v>
      </c>
      <c r="P6" s="107">
        <f>VLOOKUP(A6,saisie!B$5:W$44,16,0)</f>
        <v>85</v>
      </c>
      <c r="Q6" s="117">
        <f t="shared" si="2"/>
        <v>166.7</v>
      </c>
      <c r="R6" s="65">
        <f>VLOOKUP(A6,saisie!B$5:W$44,18,0)</f>
        <v>0</v>
      </c>
      <c r="S6" s="118">
        <f t="shared" si="3"/>
        <v>436.09999999999997</v>
      </c>
      <c r="T6" s="66">
        <f>VLOOKUP(A6,saisie!B$5:W$44,20,0)</f>
        <v>0</v>
      </c>
    </row>
    <row r="7" spans="1:21" ht="47.1" customHeight="1">
      <c r="A7" s="63">
        <f>IF(INFO!B8&gt;2,3,"")</f>
        <v>3</v>
      </c>
      <c r="B7" s="108" t="str">
        <f>VLOOKUP(A7,saisie!B$5:W$44,2,0)</f>
        <v>AST MONTALBANAIS</v>
      </c>
      <c r="C7" s="64">
        <f>VLOOKUP(A7,saisie!B$5:W$44,3,0)</f>
        <v>1982105</v>
      </c>
      <c r="D7" s="62" t="str">
        <f>VLOOKUP(A7,saisie!B$5:W$44,4,0)</f>
        <v>BOUDEROUA Yamine</v>
      </c>
      <c r="E7" s="107">
        <f>VLOOKUP(A7,saisie!B$5:W$44,5,0)</f>
        <v>69.3</v>
      </c>
      <c r="F7" s="107">
        <f>VLOOKUP(A7,saisie!B$5:W$44,6,0)</f>
        <v>72.400000000000006</v>
      </c>
      <c r="G7" s="117">
        <f t="shared" si="0"/>
        <v>141.69999999999999</v>
      </c>
      <c r="H7" s="65">
        <f>VLOOKUP(A7,saisie!B$5:W$44,8,0)</f>
        <v>0</v>
      </c>
      <c r="I7" s="62" t="str">
        <f>VLOOKUP(A7,saisie!B$5:W$44,9,0)</f>
        <v>BLANC Lena</v>
      </c>
      <c r="J7" s="107">
        <f>VLOOKUP(A7,saisie!B$5:W$44,10,0)</f>
        <v>65.2</v>
      </c>
      <c r="K7" s="107">
        <f>VLOOKUP(A7,saisie!B$5:W$44,11,0)</f>
        <v>70.400000000000006</v>
      </c>
      <c r="L7" s="117">
        <f t="shared" si="1"/>
        <v>135.60000000000002</v>
      </c>
      <c r="M7" s="65">
        <f>VLOOKUP(A7,saisie!B$5:W$44,13,0)</f>
        <v>0</v>
      </c>
      <c r="N7" s="62" t="str">
        <f>VLOOKUP(A7,saisie!B$5:W$44,14,0)</f>
        <v>PECHMEJA Loan</v>
      </c>
      <c r="O7" s="107">
        <f>VLOOKUP(A7,saisie!B$5:W$44,15,0)</f>
        <v>69.5</v>
      </c>
      <c r="P7" s="107">
        <f>VLOOKUP(A7,saisie!B$5:W$44,16,0)</f>
        <v>78.099999999999994</v>
      </c>
      <c r="Q7" s="117">
        <f t="shared" si="2"/>
        <v>147.6</v>
      </c>
      <c r="R7" s="65">
        <f>VLOOKUP(A7,saisie!B$5:W$44,18,0)</f>
        <v>0</v>
      </c>
      <c r="S7" s="118">
        <f t="shared" si="3"/>
        <v>424.9</v>
      </c>
      <c r="T7" s="66">
        <f>VLOOKUP(A7,saisie!B$5:W$44,20,0)</f>
        <v>0</v>
      </c>
    </row>
    <row r="8" spans="1:21" ht="47.1" customHeight="1">
      <c r="A8" s="63" t="str">
        <f>IF(INFO!B8&gt;3,4,"")</f>
        <v/>
      </c>
      <c r="B8" s="108" t="e">
        <f>VLOOKUP(A8,saisie!B$5:W$44,2,0)</f>
        <v>#N/A</v>
      </c>
      <c r="C8" s="64" t="e">
        <f>VLOOKUP(A8,saisie!B$5:W$44,3,0)</f>
        <v>#N/A</v>
      </c>
      <c r="D8" s="62" t="e">
        <f>VLOOKUP(A8,saisie!B$5:W$44,4,0)</f>
        <v>#N/A</v>
      </c>
      <c r="E8" s="107" t="e">
        <f>VLOOKUP(A8,saisie!B$5:W$44,5,0)</f>
        <v>#N/A</v>
      </c>
      <c r="F8" s="107" t="e">
        <f>VLOOKUP(A8,saisie!B$5:W$44,6,0)</f>
        <v>#N/A</v>
      </c>
      <c r="G8" s="117" t="e">
        <f t="shared" si="0"/>
        <v>#N/A</v>
      </c>
      <c r="H8" s="65" t="e">
        <f>VLOOKUP(A8,saisie!B$5:W$44,8,0)</f>
        <v>#N/A</v>
      </c>
      <c r="I8" s="62" t="e">
        <f>VLOOKUP(A8,saisie!B$5:W$44,9,0)</f>
        <v>#N/A</v>
      </c>
      <c r="J8" s="107" t="e">
        <f>VLOOKUP(A8,saisie!B$5:W$44,10,0)</f>
        <v>#N/A</v>
      </c>
      <c r="K8" s="107" t="e">
        <f>VLOOKUP(A8,saisie!B$5:W$44,11,0)</f>
        <v>#N/A</v>
      </c>
      <c r="L8" s="117" t="e">
        <f t="shared" si="1"/>
        <v>#N/A</v>
      </c>
      <c r="M8" s="65" t="e">
        <f>VLOOKUP(A8,saisie!B$5:W$44,13,0)</f>
        <v>#N/A</v>
      </c>
      <c r="N8" s="62" t="e">
        <f>VLOOKUP(A8,saisie!B$5:W$44,14,0)</f>
        <v>#N/A</v>
      </c>
      <c r="O8" s="107" t="e">
        <f>VLOOKUP(A8,saisie!B$5:W$44,15,0)</f>
        <v>#N/A</v>
      </c>
      <c r="P8" s="107" t="e">
        <f>VLOOKUP(A8,saisie!B$5:W$44,16,0)</f>
        <v>#N/A</v>
      </c>
      <c r="Q8" s="117" t="e">
        <f t="shared" si="2"/>
        <v>#N/A</v>
      </c>
      <c r="R8" s="65" t="e">
        <f>VLOOKUP(A8,saisie!B$5:W$44,18,0)</f>
        <v>#N/A</v>
      </c>
      <c r="S8" s="118" t="e">
        <f t="shared" si="3"/>
        <v>#N/A</v>
      </c>
      <c r="T8" s="66" t="e">
        <f>VLOOKUP(A8,saisie!B$5:W$44,20,0)</f>
        <v>#N/A</v>
      </c>
    </row>
    <row r="9" spans="1:21" ht="47.1" customHeight="1">
      <c r="A9" s="63" t="str">
        <f>IF(INFO!B8&gt;4,5,"")</f>
        <v/>
      </c>
      <c r="B9" s="108" t="e">
        <f>VLOOKUP(A9,saisie!B$5:W$44,2,0)</f>
        <v>#N/A</v>
      </c>
      <c r="C9" s="64" t="e">
        <f>VLOOKUP(A9,saisie!B$5:W$44,3,0)</f>
        <v>#N/A</v>
      </c>
      <c r="D9" s="62" t="e">
        <f>VLOOKUP(A9,saisie!B$5:W$44,4,0)</f>
        <v>#N/A</v>
      </c>
      <c r="E9" s="107" t="e">
        <f>VLOOKUP(A9,saisie!B$5:W$44,5,0)</f>
        <v>#N/A</v>
      </c>
      <c r="F9" s="107" t="e">
        <f>VLOOKUP(A9,saisie!B$5:W$44,6,0)</f>
        <v>#N/A</v>
      </c>
      <c r="G9" s="117" t="e">
        <f t="shared" si="0"/>
        <v>#N/A</v>
      </c>
      <c r="H9" s="65" t="e">
        <f>VLOOKUP(A9,saisie!B$5:W$44,8,0)</f>
        <v>#N/A</v>
      </c>
      <c r="I9" s="62" t="e">
        <f>VLOOKUP(A9,saisie!B$5:W$44,9,0)</f>
        <v>#N/A</v>
      </c>
      <c r="J9" s="107" t="e">
        <f>VLOOKUP(A9,saisie!B$5:W$44,10,0)</f>
        <v>#N/A</v>
      </c>
      <c r="K9" s="107" t="e">
        <f>VLOOKUP(A9,saisie!B$5:W$44,11,0)</f>
        <v>#N/A</v>
      </c>
      <c r="L9" s="117" t="e">
        <f t="shared" si="1"/>
        <v>#N/A</v>
      </c>
      <c r="M9" s="65" t="e">
        <f>VLOOKUP(A9,saisie!B$5:W$44,13,0)</f>
        <v>#N/A</v>
      </c>
      <c r="N9" s="62" t="e">
        <f>VLOOKUP(A9,saisie!B$5:W$44,14,0)</f>
        <v>#N/A</v>
      </c>
      <c r="O9" s="107" t="e">
        <f>VLOOKUP(A9,saisie!B$5:W$44,15,0)</f>
        <v>#N/A</v>
      </c>
      <c r="P9" s="107" t="e">
        <f>VLOOKUP(A9,saisie!B$5:W$44,16,0)</f>
        <v>#N/A</v>
      </c>
      <c r="Q9" s="117" t="e">
        <f t="shared" si="2"/>
        <v>#N/A</v>
      </c>
      <c r="R9" s="65" t="e">
        <f>VLOOKUP(A9,saisie!B$5:W$44,18,0)</f>
        <v>#N/A</v>
      </c>
      <c r="S9" s="118" t="e">
        <f t="shared" si="3"/>
        <v>#N/A</v>
      </c>
      <c r="T9" s="66" t="e">
        <f>VLOOKUP(A9,saisie!B$5:W$44,20,0)</f>
        <v>#N/A</v>
      </c>
    </row>
    <row r="10" spans="1:21" ht="47.1" customHeight="1">
      <c r="A10" s="63" t="str">
        <f>IF(INFO!B8&gt;5,6,"")</f>
        <v/>
      </c>
      <c r="B10" s="108" t="e">
        <f>VLOOKUP(A10,saisie!B$5:W$44,2,0)</f>
        <v>#N/A</v>
      </c>
      <c r="C10" s="64" t="e">
        <f>VLOOKUP(A10,saisie!B$5:W$44,3,0)</f>
        <v>#N/A</v>
      </c>
      <c r="D10" s="62" t="e">
        <f>VLOOKUP(A10,saisie!B$5:W$44,4,0)</f>
        <v>#N/A</v>
      </c>
      <c r="E10" s="107" t="e">
        <f>VLOOKUP(A10,saisie!B$5:W$44,5,0)</f>
        <v>#N/A</v>
      </c>
      <c r="F10" s="107" t="e">
        <f>VLOOKUP(A10,saisie!B$5:W$44,6,0)</f>
        <v>#N/A</v>
      </c>
      <c r="G10" s="117" t="e">
        <f t="shared" si="0"/>
        <v>#N/A</v>
      </c>
      <c r="H10" s="65" t="e">
        <f>VLOOKUP(A10,saisie!B$5:W$44,8,0)</f>
        <v>#N/A</v>
      </c>
      <c r="I10" s="62" t="e">
        <f>VLOOKUP(A10,saisie!B$5:W$44,9,0)</f>
        <v>#N/A</v>
      </c>
      <c r="J10" s="107" t="e">
        <f>VLOOKUP(A10,saisie!B$5:W$44,10,0)</f>
        <v>#N/A</v>
      </c>
      <c r="K10" s="107" t="e">
        <f>VLOOKUP(A10,saisie!B$5:W$44,11,0)</f>
        <v>#N/A</v>
      </c>
      <c r="L10" s="117" t="e">
        <f t="shared" si="1"/>
        <v>#N/A</v>
      </c>
      <c r="M10" s="65" t="e">
        <f>VLOOKUP(A10,saisie!B$5:W$44,13,0)</f>
        <v>#N/A</v>
      </c>
      <c r="N10" s="62" t="e">
        <f>VLOOKUP(A10,saisie!B$5:W$44,14,0)</f>
        <v>#N/A</v>
      </c>
      <c r="O10" s="107" t="e">
        <f>VLOOKUP(A10,saisie!B$5:W$44,15,0)</f>
        <v>#N/A</v>
      </c>
      <c r="P10" s="107" t="e">
        <f>VLOOKUP(A10,saisie!B$5:W$44,16,0)</f>
        <v>#N/A</v>
      </c>
      <c r="Q10" s="117" t="e">
        <f t="shared" si="2"/>
        <v>#N/A</v>
      </c>
      <c r="R10" s="65" t="e">
        <f>VLOOKUP(A10,saisie!B$5:W$44,18,0)</f>
        <v>#N/A</v>
      </c>
      <c r="S10" s="118" t="e">
        <f t="shared" si="3"/>
        <v>#N/A</v>
      </c>
      <c r="T10" s="66" t="e">
        <f>VLOOKUP(A10,saisie!B$5:W$44,20,0)</f>
        <v>#N/A</v>
      </c>
    </row>
    <row r="11" spans="1:21" ht="47.1" customHeight="1">
      <c r="A11" s="63" t="str">
        <f>IF(INFO!B8&gt;6,7,"")</f>
        <v/>
      </c>
      <c r="B11" s="108" t="e">
        <f>VLOOKUP(A11,saisie!B$5:W$44,2,0)</f>
        <v>#N/A</v>
      </c>
      <c r="C11" s="64" t="e">
        <f>VLOOKUP(A11,saisie!B$5:W$44,3,0)</f>
        <v>#N/A</v>
      </c>
      <c r="D11" s="62" t="e">
        <f>VLOOKUP(A11,saisie!B$5:W$44,4,0)</f>
        <v>#N/A</v>
      </c>
      <c r="E11" s="107" t="e">
        <f>VLOOKUP(A11,saisie!B$5:W$44,5,0)</f>
        <v>#N/A</v>
      </c>
      <c r="F11" s="107" t="e">
        <f>VLOOKUP(A11,saisie!B$5:W$44,6,0)</f>
        <v>#N/A</v>
      </c>
      <c r="G11" s="117" t="e">
        <f t="shared" si="0"/>
        <v>#N/A</v>
      </c>
      <c r="H11" s="65" t="e">
        <f>VLOOKUP(A11,saisie!B$5:W$44,8,0)</f>
        <v>#N/A</v>
      </c>
      <c r="I11" s="62" t="e">
        <f>VLOOKUP(A11,saisie!B$5:W$44,9,0)</f>
        <v>#N/A</v>
      </c>
      <c r="J11" s="107" t="e">
        <f>VLOOKUP(A11,saisie!B$5:W$44,10,0)</f>
        <v>#N/A</v>
      </c>
      <c r="K11" s="107" t="e">
        <f>VLOOKUP(A11,saisie!B$5:W$44,11,0)</f>
        <v>#N/A</v>
      </c>
      <c r="L11" s="117" t="e">
        <f t="shared" si="1"/>
        <v>#N/A</v>
      </c>
      <c r="M11" s="65" t="e">
        <f>VLOOKUP(A11,saisie!B$5:W$44,13,0)</f>
        <v>#N/A</v>
      </c>
      <c r="N11" s="62" t="e">
        <f>VLOOKUP(A11,saisie!B$5:W$44,14,0)</f>
        <v>#N/A</v>
      </c>
      <c r="O11" s="107" t="e">
        <f>VLOOKUP(A11,saisie!B$5:W$44,15,0)</f>
        <v>#N/A</v>
      </c>
      <c r="P11" s="107" t="e">
        <f>VLOOKUP(A11,saisie!B$5:W$44,16,0)</f>
        <v>#N/A</v>
      </c>
      <c r="Q11" s="117" t="e">
        <f t="shared" si="2"/>
        <v>#N/A</v>
      </c>
      <c r="R11" s="65" t="e">
        <f>VLOOKUP(A11,saisie!B$5:W$44,18,0)</f>
        <v>#N/A</v>
      </c>
      <c r="S11" s="118" t="e">
        <f t="shared" si="3"/>
        <v>#N/A</v>
      </c>
      <c r="T11" s="66" t="e">
        <f>VLOOKUP(A11,saisie!B$5:W$44,20,0)</f>
        <v>#N/A</v>
      </c>
    </row>
    <row r="12" spans="1:21" ht="47.1" customHeight="1">
      <c r="A12" s="63" t="str">
        <f>IF(INFO!B8&gt;7,8,"")</f>
        <v/>
      </c>
      <c r="B12" s="108" t="e">
        <f>VLOOKUP(A12,saisie!B$5:W$44,2,0)</f>
        <v>#N/A</v>
      </c>
      <c r="C12" s="64" t="e">
        <f>VLOOKUP(A12,saisie!B$5:W$44,3,0)</f>
        <v>#N/A</v>
      </c>
      <c r="D12" s="62" t="e">
        <f>VLOOKUP(A12,saisie!B$5:W$44,4,0)</f>
        <v>#N/A</v>
      </c>
      <c r="E12" s="107" t="e">
        <f>VLOOKUP(A12,saisie!B$5:W$44,5,0)</f>
        <v>#N/A</v>
      </c>
      <c r="F12" s="107" t="e">
        <f>VLOOKUP(A12,saisie!B$5:W$44,6,0)</f>
        <v>#N/A</v>
      </c>
      <c r="G12" s="117" t="e">
        <f t="shared" si="0"/>
        <v>#N/A</v>
      </c>
      <c r="H12" s="65" t="e">
        <f>VLOOKUP(A12,saisie!B$5:W$44,8,0)</f>
        <v>#N/A</v>
      </c>
      <c r="I12" s="62" t="e">
        <f>VLOOKUP(A12,saisie!B$5:W$44,9,0)</f>
        <v>#N/A</v>
      </c>
      <c r="J12" s="107" t="e">
        <f>VLOOKUP(A12,saisie!B$5:W$44,10,0)</f>
        <v>#N/A</v>
      </c>
      <c r="K12" s="107" t="e">
        <f>VLOOKUP(A12,saisie!B$5:W$44,11,0)</f>
        <v>#N/A</v>
      </c>
      <c r="L12" s="117" t="e">
        <f t="shared" si="1"/>
        <v>#N/A</v>
      </c>
      <c r="M12" s="65" t="e">
        <f>VLOOKUP(A12,saisie!B$5:W$44,13,0)</f>
        <v>#N/A</v>
      </c>
      <c r="N12" s="62" t="e">
        <f>VLOOKUP(A12,saisie!B$5:W$44,14,0)</f>
        <v>#N/A</v>
      </c>
      <c r="O12" s="107" t="e">
        <f>VLOOKUP(A12,saisie!B$5:W$44,15,0)</f>
        <v>#N/A</v>
      </c>
      <c r="P12" s="107" t="e">
        <f>VLOOKUP(A12,saisie!B$5:W$44,16,0)</f>
        <v>#N/A</v>
      </c>
      <c r="Q12" s="117" t="e">
        <f t="shared" si="2"/>
        <v>#N/A</v>
      </c>
      <c r="R12" s="65" t="e">
        <f>VLOOKUP(A12,saisie!B$5:W$44,18,0)</f>
        <v>#N/A</v>
      </c>
      <c r="S12" s="118" t="e">
        <f t="shared" si="3"/>
        <v>#N/A</v>
      </c>
      <c r="T12" s="66" t="e">
        <f>VLOOKUP(A12,saisie!B$5:W$44,20,0)</f>
        <v>#N/A</v>
      </c>
    </row>
    <row r="13" spans="1:21" ht="47.1" customHeight="1">
      <c r="A13" s="63" t="str">
        <f>IF(INFO!B8&gt;8,9,"")</f>
        <v/>
      </c>
      <c r="B13" s="108" t="e">
        <f>VLOOKUP(A13,saisie!B$5:W$44,2,0)</f>
        <v>#N/A</v>
      </c>
      <c r="C13" s="64" t="e">
        <f>VLOOKUP(A13,saisie!B$5:W$44,3,0)</f>
        <v>#N/A</v>
      </c>
      <c r="D13" s="62" t="e">
        <f>VLOOKUP(A13,saisie!B$5:W$44,4,0)</f>
        <v>#N/A</v>
      </c>
      <c r="E13" s="107" t="e">
        <f>VLOOKUP(A13,saisie!B$5:W$44,5,0)</f>
        <v>#N/A</v>
      </c>
      <c r="F13" s="107" t="e">
        <f>VLOOKUP(A13,saisie!B$5:W$44,6,0)</f>
        <v>#N/A</v>
      </c>
      <c r="G13" s="117" t="e">
        <f t="shared" si="0"/>
        <v>#N/A</v>
      </c>
      <c r="H13" s="65" t="e">
        <f>VLOOKUP(A13,saisie!B$5:W$44,8,0)</f>
        <v>#N/A</v>
      </c>
      <c r="I13" s="62" t="e">
        <f>VLOOKUP(A13,saisie!B$5:W$44,9,0)</f>
        <v>#N/A</v>
      </c>
      <c r="J13" s="107" t="e">
        <f>VLOOKUP(A13,saisie!B$5:W$44,10,0)</f>
        <v>#N/A</v>
      </c>
      <c r="K13" s="107" t="e">
        <f>VLOOKUP(A13,saisie!B$5:W$44,11,0)</f>
        <v>#N/A</v>
      </c>
      <c r="L13" s="117" t="e">
        <f t="shared" si="1"/>
        <v>#N/A</v>
      </c>
      <c r="M13" s="65" t="e">
        <f>VLOOKUP(A13,saisie!B$5:W$44,13,0)</f>
        <v>#N/A</v>
      </c>
      <c r="N13" s="62" t="e">
        <f>VLOOKUP(A13,saisie!B$5:W$44,14,0)</f>
        <v>#N/A</v>
      </c>
      <c r="O13" s="107" t="e">
        <f>VLOOKUP(A13,saisie!B$5:W$44,15,0)</f>
        <v>#N/A</v>
      </c>
      <c r="P13" s="107" t="e">
        <f>VLOOKUP(A13,saisie!B$5:W$44,16,0)</f>
        <v>#N/A</v>
      </c>
      <c r="Q13" s="117" t="e">
        <f t="shared" si="2"/>
        <v>#N/A</v>
      </c>
      <c r="R13" s="65" t="e">
        <f>VLOOKUP(A13,saisie!B$5:W$44,18,0)</f>
        <v>#N/A</v>
      </c>
      <c r="S13" s="118" t="e">
        <f t="shared" si="3"/>
        <v>#N/A</v>
      </c>
      <c r="T13" s="66" t="e">
        <f>VLOOKUP(A13,saisie!B$5:W$44,20,0)</f>
        <v>#N/A</v>
      </c>
    </row>
    <row r="14" spans="1:21" ht="47.1" customHeight="1">
      <c r="A14" s="63" t="str">
        <f>IF(INFO!B8&gt;9,10,"")</f>
        <v/>
      </c>
      <c r="B14" s="108" t="e">
        <f>VLOOKUP(A14,saisie!B$5:W$44,2,0)</f>
        <v>#N/A</v>
      </c>
      <c r="C14" s="64" t="e">
        <f>VLOOKUP(A14,saisie!B$5:W$44,3,0)</f>
        <v>#N/A</v>
      </c>
      <c r="D14" s="62" t="e">
        <f>VLOOKUP(A14,saisie!B$5:W$44,4,0)</f>
        <v>#N/A</v>
      </c>
      <c r="E14" s="107" t="e">
        <f>VLOOKUP(A14,saisie!B$5:W$44,5,0)</f>
        <v>#N/A</v>
      </c>
      <c r="F14" s="107" t="e">
        <f>VLOOKUP(A14,saisie!B$5:W$44,6,0)</f>
        <v>#N/A</v>
      </c>
      <c r="G14" s="117" t="e">
        <f t="shared" si="0"/>
        <v>#N/A</v>
      </c>
      <c r="H14" s="65" t="e">
        <f>VLOOKUP(A14,saisie!B$5:W$44,8,0)</f>
        <v>#N/A</v>
      </c>
      <c r="I14" s="62" t="e">
        <f>VLOOKUP(A14,saisie!B$5:W$44,9,0)</f>
        <v>#N/A</v>
      </c>
      <c r="J14" s="107" t="e">
        <f>VLOOKUP(A14,saisie!B$5:W$44,10,0)</f>
        <v>#N/A</v>
      </c>
      <c r="K14" s="107" t="e">
        <f>VLOOKUP(A14,saisie!B$5:W$44,11,0)</f>
        <v>#N/A</v>
      </c>
      <c r="L14" s="117" t="e">
        <f t="shared" si="1"/>
        <v>#N/A</v>
      </c>
      <c r="M14" s="65" t="e">
        <f>VLOOKUP(A14,saisie!B$5:W$44,13,0)</f>
        <v>#N/A</v>
      </c>
      <c r="N14" s="62" t="e">
        <f>VLOOKUP(A14,saisie!B$5:W$44,14,0)</f>
        <v>#N/A</v>
      </c>
      <c r="O14" s="107" t="e">
        <f>VLOOKUP(A14,saisie!B$5:W$44,15,0)</f>
        <v>#N/A</v>
      </c>
      <c r="P14" s="107" t="e">
        <f>VLOOKUP(A14,saisie!B$5:W$44,16,0)</f>
        <v>#N/A</v>
      </c>
      <c r="Q14" s="117" t="e">
        <f t="shared" si="2"/>
        <v>#N/A</v>
      </c>
      <c r="R14" s="65" t="e">
        <f>VLOOKUP(A14,saisie!B$5:W$44,18,0)</f>
        <v>#N/A</v>
      </c>
      <c r="S14" s="118" t="e">
        <f t="shared" si="3"/>
        <v>#N/A</v>
      </c>
      <c r="T14" s="66" t="e">
        <f>VLOOKUP(A14,saisie!B$5:W$44,20,0)</f>
        <v>#N/A</v>
      </c>
    </row>
    <row r="15" spans="1:21" ht="47.1" customHeight="1">
      <c r="A15" s="63" t="str">
        <f>IF(INFO!B8&gt;10,11,"")</f>
        <v/>
      </c>
      <c r="B15" s="108" t="e">
        <f>VLOOKUP(A15,saisie!B$5:W$44,2,0)</f>
        <v>#N/A</v>
      </c>
      <c r="C15" s="64" t="e">
        <f>VLOOKUP(A15,saisie!B$5:W$44,3,0)</f>
        <v>#N/A</v>
      </c>
      <c r="D15" s="62" t="e">
        <f>VLOOKUP(A15,saisie!B$5:W$44,4,0)</f>
        <v>#N/A</v>
      </c>
      <c r="E15" s="107" t="e">
        <f>VLOOKUP(A15,saisie!B$5:W$44,5,0)</f>
        <v>#N/A</v>
      </c>
      <c r="F15" s="107" t="e">
        <f>VLOOKUP(A15,saisie!B$5:W$44,6,0)</f>
        <v>#N/A</v>
      </c>
      <c r="G15" s="117" t="e">
        <f t="shared" si="0"/>
        <v>#N/A</v>
      </c>
      <c r="H15" s="65" t="e">
        <f>VLOOKUP(A15,saisie!B$5:W$44,8,0)</f>
        <v>#N/A</v>
      </c>
      <c r="I15" s="62" t="e">
        <f>VLOOKUP(A15,saisie!B$5:W$44,9,0)</f>
        <v>#N/A</v>
      </c>
      <c r="J15" s="107" t="e">
        <f>VLOOKUP(A15,saisie!B$5:W$44,10,0)</f>
        <v>#N/A</v>
      </c>
      <c r="K15" s="107" t="e">
        <f>VLOOKUP(A15,saisie!B$5:W$44,11,0)</f>
        <v>#N/A</v>
      </c>
      <c r="L15" s="117" t="e">
        <f t="shared" si="1"/>
        <v>#N/A</v>
      </c>
      <c r="M15" s="65" t="e">
        <f>VLOOKUP(A15,saisie!B$5:W$44,13,0)</f>
        <v>#N/A</v>
      </c>
      <c r="N15" s="62" t="e">
        <f>VLOOKUP(A15,saisie!B$5:W$44,14,0)</f>
        <v>#N/A</v>
      </c>
      <c r="O15" s="107" t="e">
        <f>VLOOKUP(A15,saisie!B$5:W$44,15,0)</f>
        <v>#N/A</v>
      </c>
      <c r="P15" s="107" t="e">
        <f>VLOOKUP(A15,saisie!B$5:W$44,16,0)</f>
        <v>#N/A</v>
      </c>
      <c r="Q15" s="117" t="e">
        <f t="shared" si="2"/>
        <v>#N/A</v>
      </c>
      <c r="R15" s="65" t="e">
        <f>VLOOKUP(A15,saisie!B$5:W$44,18,0)</f>
        <v>#N/A</v>
      </c>
      <c r="S15" s="118" t="e">
        <f t="shared" si="3"/>
        <v>#N/A</v>
      </c>
      <c r="T15" s="66" t="e">
        <f>VLOOKUP(A15,saisie!B$5:W$44,20,0)</f>
        <v>#N/A</v>
      </c>
    </row>
    <row r="16" spans="1:21" ht="47.1" customHeight="1">
      <c r="A16" s="63" t="str">
        <f>IF(INFO!B8&gt;11,12,"")</f>
        <v/>
      </c>
      <c r="B16" s="108" t="e">
        <f>VLOOKUP(A16,saisie!B$5:W$44,2,0)</f>
        <v>#N/A</v>
      </c>
      <c r="C16" s="64" t="e">
        <f>VLOOKUP(A16,saisie!B$5:W$44,3,0)</f>
        <v>#N/A</v>
      </c>
      <c r="D16" s="62" t="e">
        <f>VLOOKUP(A16,saisie!B$5:W$44,4,0)</f>
        <v>#N/A</v>
      </c>
      <c r="E16" s="107" t="e">
        <f>VLOOKUP(A16,saisie!B$5:W$44,5,0)</f>
        <v>#N/A</v>
      </c>
      <c r="F16" s="107" t="e">
        <f>VLOOKUP(A16,saisie!B$5:W$44,6,0)</f>
        <v>#N/A</v>
      </c>
      <c r="G16" s="117" t="e">
        <f t="shared" si="0"/>
        <v>#N/A</v>
      </c>
      <c r="H16" s="65" t="e">
        <f>VLOOKUP(A16,saisie!B$5:W$44,8,0)</f>
        <v>#N/A</v>
      </c>
      <c r="I16" s="62" t="e">
        <f>VLOOKUP(A16,saisie!B$5:W$44,9,0)</f>
        <v>#N/A</v>
      </c>
      <c r="J16" s="107" t="e">
        <f>VLOOKUP(A16,saisie!B$5:W$44,10,0)</f>
        <v>#N/A</v>
      </c>
      <c r="K16" s="107" t="e">
        <f>VLOOKUP(A16,saisie!B$5:W$44,11,0)</f>
        <v>#N/A</v>
      </c>
      <c r="L16" s="117" t="e">
        <f t="shared" si="1"/>
        <v>#N/A</v>
      </c>
      <c r="M16" s="65" t="e">
        <f>VLOOKUP(A16,saisie!B$5:W$44,13,0)</f>
        <v>#N/A</v>
      </c>
      <c r="N16" s="62" t="e">
        <f>VLOOKUP(A16,saisie!B$5:W$44,14,0)</f>
        <v>#N/A</v>
      </c>
      <c r="O16" s="107" t="e">
        <f>VLOOKUP(A16,saisie!B$5:W$44,15,0)</f>
        <v>#N/A</v>
      </c>
      <c r="P16" s="107" t="e">
        <f>VLOOKUP(A16,saisie!B$5:W$44,16,0)</f>
        <v>#N/A</v>
      </c>
      <c r="Q16" s="117" t="e">
        <f t="shared" si="2"/>
        <v>#N/A</v>
      </c>
      <c r="R16" s="65" t="e">
        <f>VLOOKUP(A16,saisie!B$5:W$44,18,0)</f>
        <v>#N/A</v>
      </c>
      <c r="S16" s="118" t="e">
        <f t="shared" si="3"/>
        <v>#N/A</v>
      </c>
      <c r="T16" s="66" t="e">
        <f>VLOOKUP(A16,saisie!B$5:W$44,20,0)</f>
        <v>#N/A</v>
      </c>
    </row>
    <row r="17" spans="1:20" ht="47.1" customHeight="1">
      <c r="A17" s="63" t="str">
        <f>IF(INFO!B8&gt;12,13,"")</f>
        <v/>
      </c>
      <c r="B17" s="108" t="e">
        <f>VLOOKUP(A17,saisie!B$5:W$44,2,0)</f>
        <v>#N/A</v>
      </c>
      <c r="C17" s="64" t="e">
        <f>VLOOKUP(A17,saisie!B$5:W$44,3,0)</f>
        <v>#N/A</v>
      </c>
      <c r="D17" s="62" t="e">
        <f>VLOOKUP(A17,saisie!B$5:W$44,4,0)</f>
        <v>#N/A</v>
      </c>
      <c r="E17" s="107" t="e">
        <f>VLOOKUP(A17,saisie!B$5:W$44,5,0)</f>
        <v>#N/A</v>
      </c>
      <c r="F17" s="107" t="e">
        <f>VLOOKUP(A17,saisie!B$5:W$44,6,0)</f>
        <v>#N/A</v>
      </c>
      <c r="G17" s="117" t="e">
        <f t="shared" si="0"/>
        <v>#N/A</v>
      </c>
      <c r="H17" s="65" t="e">
        <f>VLOOKUP(A17,saisie!B$5:W$44,8,0)</f>
        <v>#N/A</v>
      </c>
      <c r="I17" s="62" t="e">
        <f>VLOOKUP(A17,saisie!B$5:W$44,9,0)</f>
        <v>#N/A</v>
      </c>
      <c r="J17" s="107" t="e">
        <f>VLOOKUP(A17,saisie!B$5:W$44,10,0)</f>
        <v>#N/A</v>
      </c>
      <c r="K17" s="107" t="e">
        <f>VLOOKUP(A17,saisie!B$5:W$44,11,0)</f>
        <v>#N/A</v>
      </c>
      <c r="L17" s="117" t="e">
        <f t="shared" si="1"/>
        <v>#N/A</v>
      </c>
      <c r="M17" s="65" t="e">
        <f>VLOOKUP(A17,saisie!B$5:W$44,13,0)</f>
        <v>#N/A</v>
      </c>
      <c r="N17" s="62" t="e">
        <f>VLOOKUP(A17,saisie!B$5:W$44,14,0)</f>
        <v>#N/A</v>
      </c>
      <c r="O17" s="107" t="e">
        <f>VLOOKUP(A17,saisie!B$5:W$44,15,0)</f>
        <v>#N/A</v>
      </c>
      <c r="P17" s="107" t="e">
        <f>VLOOKUP(A17,saisie!B$5:W$44,16,0)</f>
        <v>#N/A</v>
      </c>
      <c r="Q17" s="117" t="e">
        <f t="shared" si="2"/>
        <v>#N/A</v>
      </c>
      <c r="R17" s="65" t="e">
        <f>VLOOKUP(A17,saisie!B$5:W$44,18,0)</f>
        <v>#N/A</v>
      </c>
      <c r="S17" s="118" t="e">
        <f t="shared" si="3"/>
        <v>#N/A</v>
      </c>
      <c r="T17" s="66" t="e">
        <f>VLOOKUP(A17,saisie!B$5:W$44,20,0)</f>
        <v>#N/A</v>
      </c>
    </row>
    <row r="18" spans="1:20" ht="47.1" customHeight="1">
      <c r="A18" s="63" t="str">
        <f>IF(INFO!B8&gt;13,14,"")</f>
        <v/>
      </c>
      <c r="B18" s="108" t="e">
        <f>VLOOKUP(A18,saisie!B$5:W$44,2,0)</f>
        <v>#N/A</v>
      </c>
      <c r="C18" s="64" t="e">
        <f>VLOOKUP(A18,saisie!B$5:W$44,3,0)</f>
        <v>#N/A</v>
      </c>
      <c r="D18" s="62" t="e">
        <f>VLOOKUP(A18,saisie!B$5:W$44,4,0)</f>
        <v>#N/A</v>
      </c>
      <c r="E18" s="107" t="e">
        <f>VLOOKUP(A18,saisie!B$5:W$44,5,0)</f>
        <v>#N/A</v>
      </c>
      <c r="F18" s="107" t="e">
        <f>VLOOKUP(A18,saisie!B$5:W$44,6,0)</f>
        <v>#N/A</v>
      </c>
      <c r="G18" s="117" t="e">
        <f t="shared" si="0"/>
        <v>#N/A</v>
      </c>
      <c r="H18" s="65" t="e">
        <f>VLOOKUP(A18,saisie!B$5:W$44,8,0)</f>
        <v>#N/A</v>
      </c>
      <c r="I18" s="62" t="e">
        <f>VLOOKUP(A18,saisie!B$5:W$44,9,0)</f>
        <v>#N/A</v>
      </c>
      <c r="J18" s="107" t="e">
        <f>VLOOKUP(A18,saisie!B$5:W$44,10,0)</f>
        <v>#N/A</v>
      </c>
      <c r="K18" s="107" t="e">
        <f>VLOOKUP(A18,saisie!B$5:W$44,11,0)</f>
        <v>#N/A</v>
      </c>
      <c r="L18" s="117" t="e">
        <f t="shared" si="1"/>
        <v>#N/A</v>
      </c>
      <c r="M18" s="65" t="e">
        <f>VLOOKUP(A18,saisie!B$5:W$44,13,0)</f>
        <v>#N/A</v>
      </c>
      <c r="N18" s="62" t="e">
        <f>VLOOKUP(A18,saisie!B$5:W$44,14,0)</f>
        <v>#N/A</v>
      </c>
      <c r="O18" s="107" t="e">
        <f>VLOOKUP(A18,saisie!B$5:W$44,15,0)</f>
        <v>#N/A</v>
      </c>
      <c r="P18" s="107" t="e">
        <f>VLOOKUP(A18,saisie!B$5:W$44,16,0)</f>
        <v>#N/A</v>
      </c>
      <c r="Q18" s="117" t="e">
        <f t="shared" si="2"/>
        <v>#N/A</v>
      </c>
      <c r="R18" s="65" t="e">
        <f>VLOOKUP(A18,saisie!B$5:W$44,18,0)</f>
        <v>#N/A</v>
      </c>
      <c r="S18" s="118" t="e">
        <f t="shared" si="3"/>
        <v>#N/A</v>
      </c>
      <c r="T18" s="66" t="e">
        <f>VLOOKUP(A18,saisie!B$5:W$44,20,0)</f>
        <v>#N/A</v>
      </c>
    </row>
    <row r="19" spans="1:20" ht="47.1" customHeight="1">
      <c r="A19" s="63" t="str">
        <f>IF(INFO!B8&gt;14,15,"")</f>
        <v/>
      </c>
      <c r="B19" s="108" t="e">
        <f>VLOOKUP(A19,saisie!B$5:W$44,2,0)</f>
        <v>#N/A</v>
      </c>
      <c r="C19" s="64" t="e">
        <f>VLOOKUP(A19,saisie!B$5:W$44,3,0)</f>
        <v>#N/A</v>
      </c>
      <c r="D19" s="62" t="e">
        <f>VLOOKUP(A19,saisie!B$5:W$44,4,0)</f>
        <v>#N/A</v>
      </c>
      <c r="E19" s="107" t="e">
        <f>VLOOKUP(A19,saisie!B$5:W$44,5,0)</f>
        <v>#N/A</v>
      </c>
      <c r="F19" s="107" t="e">
        <f>VLOOKUP(A19,saisie!B$5:W$44,6,0)</f>
        <v>#N/A</v>
      </c>
      <c r="G19" s="117" t="e">
        <f t="shared" si="0"/>
        <v>#N/A</v>
      </c>
      <c r="H19" s="65" t="e">
        <f>VLOOKUP(A19,saisie!B$5:W$44,8,0)</f>
        <v>#N/A</v>
      </c>
      <c r="I19" s="62" t="e">
        <f>VLOOKUP(A19,saisie!B$5:W$44,9,0)</f>
        <v>#N/A</v>
      </c>
      <c r="J19" s="107" t="e">
        <f>VLOOKUP(A19,saisie!B$5:W$44,10,0)</f>
        <v>#N/A</v>
      </c>
      <c r="K19" s="107" t="e">
        <f>VLOOKUP(A19,saisie!B$5:W$44,11,0)</f>
        <v>#N/A</v>
      </c>
      <c r="L19" s="117" t="e">
        <f t="shared" si="1"/>
        <v>#N/A</v>
      </c>
      <c r="M19" s="65" t="e">
        <f>VLOOKUP(A19,saisie!B$5:W$44,13,0)</f>
        <v>#N/A</v>
      </c>
      <c r="N19" s="62" t="e">
        <f>VLOOKUP(A19,saisie!B$5:W$44,14,0)</f>
        <v>#N/A</v>
      </c>
      <c r="O19" s="107" t="e">
        <f>VLOOKUP(A19,saisie!B$5:W$44,15,0)</f>
        <v>#N/A</v>
      </c>
      <c r="P19" s="107" t="e">
        <f>VLOOKUP(A19,saisie!B$5:W$44,16,0)</f>
        <v>#N/A</v>
      </c>
      <c r="Q19" s="117" t="e">
        <f t="shared" si="2"/>
        <v>#N/A</v>
      </c>
      <c r="R19" s="65" t="e">
        <f>VLOOKUP(A19,saisie!B$5:W$44,18,0)</f>
        <v>#N/A</v>
      </c>
      <c r="S19" s="118" t="e">
        <f t="shared" si="3"/>
        <v>#N/A</v>
      </c>
      <c r="T19" s="66" t="e">
        <f>VLOOKUP(A19,saisie!B$5:W$44,20,0)</f>
        <v>#N/A</v>
      </c>
    </row>
    <row r="20" spans="1:20" ht="47.1" customHeight="1">
      <c r="A20" s="63" t="str">
        <f>IF(INFO!B8&gt;15,16,"")</f>
        <v/>
      </c>
      <c r="B20" s="108" t="e">
        <f>VLOOKUP(A20,saisie!B$5:W$44,2,0)</f>
        <v>#N/A</v>
      </c>
      <c r="C20" s="64" t="e">
        <f>VLOOKUP(A20,saisie!B$5:W$44,3,0)</f>
        <v>#N/A</v>
      </c>
      <c r="D20" s="62" t="e">
        <f>VLOOKUP(A20,saisie!B$5:W$44,4,0)</f>
        <v>#N/A</v>
      </c>
      <c r="E20" s="107" t="e">
        <f>VLOOKUP(A20,saisie!B$5:W$44,5,0)</f>
        <v>#N/A</v>
      </c>
      <c r="F20" s="107" t="e">
        <f>VLOOKUP(A20,saisie!B$5:W$44,6,0)</f>
        <v>#N/A</v>
      </c>
      <c r="G20" s="117" t="e">
        <f t="shared" si="0"/>
        <v>#N/A</v>
      </c>
      <c r="H20" s="65" t="e">
        <f>VLOOKUP(A20,saisie!B$5:W$44,8,0)</f>
        <v>#N/A</v>
      </c>
      <c r="I20" s="62" t="e">
        <f>VLOOKUP(A20,saisie!B$5:W$44,9,0)</f>
        <v>#N/A</v>
      </c>
      <c r="J20" s="107" t="e">
        <f>VLOOKUP(A20,saisie!B$5:W$44,10,0)</f>
        <v>#N/A</v>
      </c>
      <c r="K20" s="107" t="e">
        <f>VLOOKUP(A20,saisie!B$5:W$44,11,0)</f>
        <v>#N/A</v>
      </c>
      <c r="L20" s="117" t="e">
        <f t="shared" si="1"/>
        <v>#N/A</v>
      </c>
      <c r="M20" s="65" t="e">
        <f>VLOOKUP(A20,saisie!B$5:W$44,13,0)</f>
        <v>#N/A</v>
      </c>
      <c r="N20" s="62" t="e">
        <f>VLOOKUP(A20,saisie!B$5:W$44,14,0)</f>
        <v>#N/A</v>
      </c>
      <c r="O20" s="107" t="e">
        <f>VLOOKUP(A20,saisie!B$5:W$44,15,0)</f>
        <v>#N/A</v>
      </c>
      <c r="P20" s="107" t="e">
        <f>VLOOKUP(A20,saisie!B$5:W$44,16,0)</f>
        <v>#N/A</v>
      </c>
      <c r="Q20" s="117" t="e">
        <f t="shared" si="2"/>
        <v>#N/A</v>
      </c>
      <c r="R20" s="65" t="e">
        <f>VLOOKUP(A20,saisie!B$5:W$44,18,0)</f>
        <v>#N/A</v>
      </c>
      <c r="S20" s="118" t="e">
        <f t="shared" si="3"/>
        <v>#N/A</v>
      </c>
      <c r="T20" s="66" t="e">
        <f>VLOOKUP(A20,saisie!B$5:W$44,20,0)</f>
        <v>#N/A</v>
      </c>
    </row>
    <row r="21" spans="1:20" ht="47.1" customHeight="1">
      <c r="A21" s="63" t="str">
        <f>IF(INFO!B8&gt;16,17,"")</f>
        <v/>
      </c>
      <c r="B21" s="108" t="e">
        <f>VLOOKUP(A21,saisie!B$5:W$44,2,0)</f>
        <v>#N/A</v>
      </c>
      <c r="C21" s="64" t="e">
        <f>VLOOKUP(A21,saisie!B$5:W$44,3,0)</f>
        <v>#N/A</v>
      </c>
      <c r="D21" s="62" t="e">
        <f>VLOOKUP(A21,saisie!B$5:W$44,4,0)</f>
        <v>#N/A</v>
      </c>
      <c r="E21" s="107" t="e">
        <f>VLOOKUP(A21,saisie!B$5:W$44,5,0)</f>
        <v>#N/A</v>
      </c>
      <c r="F21" s="107" t="e">
        <f>VLOOKUP(A21,saisie!B$5:W$44,6,0)</f>
        <v>#N/A</v>
      </c>
      <c r="G21" s="117" t="e">
        <f t="shared" si="0"/>
        <v>#N/A</v>
      </c>
      <c r="H21" s="65" t="e">
        <f>VLOOKUP(A21,saisie!B$5:W$44,8,0)</f>
        <v>#N/A</v>
      </c>
      <c r="I21" s="62" t="e">
        <f>VLOOKUP(A21,saisie!B$5:W$44,9,0)</f>
        <v>#N/A</v>
      </c>
      <c r="J21" s="107" t="e">
        <f>VLOOKUP(A21,saisie!B$5:W$44,10,0)</f>
        <v>#N/A</v>
      </c>
      <c r="K21" s="107" t="e">
        <f>VLOOKUP(A21,saisie!B$5:W$44,11,0)</f>
        <v>#N/A</v>
      </c>
      <c r="L21" s="117" t="e">
        <f t="shared" si="1"/>
        <v>#N/A</v>
      </c>
      <c r="M21" s="65" t="e">
        <f>VLOOKUP(A21,saisie!B$5:W$44,13,0)</f>
        <v>#N/A</v>
      </c>
      <c r="N21" s="62" t="e">
        <f>VLOOKUP(A21,saisie!B$5:W$44,14,0)</f>
        <v>#N/A</v>
      </c>
      <c r="O21" s="107" t="e">
        <f>VLOOKUP(A21,saisie!B$5:W$44,15,0)</f>
        <v>#N/A</v>
      </c>
      <c r="P21" s="107" t="e">
        <f>VLOOKUP(A21,saisie!B$5:W$44,16,0)</f>
        <v>#N/A</v>
      </c>
      <c r="Q21" s="117" t="e">
        <f t="shared" si="2"/>
        <v>#N/A</v>
      </c>
      <c r="R21" s="65" t="e">
        <f>VLOOKUP(A21,saisie!B$5:W$44,18,0)</f>
        <v>#N/A</v>
      </c>
      <c r="S21" s="118" t="e">
        <f t="shared" si="3"/>
        <v>#N/A</v>
      </c>
      <c r="T21" s="66" t="e">
        <f>VLOOKUP(A21,saisie!B$5:W$44,20,0)</f>
        <v>#N/A</v>
      </c>
    </row>
    <row r="22" spans="1:20" ht="47.1" customHeight="1">
      <c r="A22" s="63" t="str">
        <f>IF(INFO!B8&gt;17,18,"")</f>
        <v/>
      </c>
      <c r="B22" s="108" t="e">
        <f>VLOOKUP(A22,saisie!B$5:W$44,2,0)</f>
        <v>#N/A</v>
      </c>
      <c r="C22" s="64" t="e">
        <f>VLOOKUP(A22,saisie!B$5:W$44,3,0)</f>
        <v>#N/A</v>
      </c>
      <c r="D22" s="62" t="e">
        <f>VLOOKUP(A22,saisie!B$5:W$44,4,0)</f>
        <v>#N/A</v>
      </c>
      <c r="E22" s="107" t="e">
        <f>VLOOKUP(A22,saisie!B$5:W$44,5,0)</f>
        <v>#N/A</v>
      </c>
      <c r="F22" s="107" t="e">
        <f>VLOOKUP(A22,saisie!B$5:W$44,6,0)</f>
        <v>#N/A</v>
      </c>
      <c r="G22" s="117" t="e">
        <f t="shared" si="0"/>
        <v>#N/A</v>
      </c>
      <c r="H22" s="65" t="e">
        <f>VLOOKUP(A22,saisie!B$5:W$44,8,0)</f>
        <v>#N/A</v>
      </c>
      <c r="I22" s="62" t="e">
        <f>VLOOKUP(A22,saisie!B$5:W$44,9,0)</f>
        <v>#N/A</v>
      </c>
      <c r="J22" s="107" t="e">
        <f>VLOOKUP(A22,saisie!B$5:W$44,10,0)</f>
        <v>#N/A</v>
      </c>
      <c r="K22" s="107" t="e">
        <f>VLOOKUP(A22,saisie!B$5:W$44,11,0)</f>
        <v>#N/A</v>
      </c>
      <c r="L22" s="117" t="e">
        <f t="shared" si="1"/>
        <v>#N/A</v>
      </c>
      <c r="M22" s="65" t="e">
        <f>VLOOKUP(A22,saisie!B$5:W$44,13,0)</f>
        <v>#N/A</v>
      </c>
      <c r="N22" s="62" t="e">
        <f>VLOOKUP(A22,saisie!B$5:W$44,14,0)</f>
        <v>#N/A</v>
      </c>
      <c r="O22" s="107" t="e">
        <f>VLOOKUP(A22,saisie!B$5:W$44,15,0)</f>
        <v>#N/A</v>
      </c>
      <c r="P22" s="107" t="e">
        <f>VLOOKUP(A22,saisie!B$5:W$44,16,0)</f>
        <v>#N/A</v>
      </c>
      <c r="Q22" s="117" t="e">
        <f t="shared" si="2"/>
        <v>#N/A</v>
      </c>
      <c r="R22" s="65" t="e">
        <f>VLOOKUP(A22,saisie!B$5:W$44,18,0)</f>
        <v>#N/A</v>
      </c>
      <c r="S22" s="118" t="e">
        <f t="shared" si="3"/>
        <v>#N/A</v>
      </c>
      <c r="T22" s="66" t="e">
        <f>VLOOKUP(A22,saisie!B$5:W$44,20,0)</f>
        <v>#N/A</v>
      </c>
    </row>
    <row r="23" spans="1:20" ht="47.1" customHeight="1">
      <c r="A23" s="63" t="str">
        <f>IF(INFO!B8&gt;18,19,"")</f>
        <v/>
      </c>
      <c r="B23" s="108" t="e">
        <f>VLOOKUP(A23,saisie!B$5:W$44,2,0)</f>
        <v>#N/A</v>
      </c>
      <c r="C23" s="64" t="e">
        <f>VLOOKUP(A23,saisie!B$5:W$44,3,0)</f>
        <v>#N/A</v>
      </c>
      <c r="D23" s="62" t="e">
        <f>VLOOKUP(A23,saisie!B$5:W$44,4,0)</f>
        <v>#N/A</v>
      </c>
      <c r="E23" s="107" t="e">
        <f>VLOOKUP(A23,saisie!B$5:W$44,5,0)</f>
        <v>#N/A</v>
      </c>
      <c r="F23" s="107" t="e">
        <f>VLOOKUP(A23,saisie!B$5:W$44,6,0)</f>
        <v>#N/A</v>
      </c>
      <c r="G23" s="117" t="e">
        <f t="shared" si="0"/>
        <v>#N/A</v>
      </c>
      <c r="H23" s="65" t="e">
        <f>VLOOKUP(A23,saisie!B$5:W$44,8,0)</f>
        <v>#N/A</v>
      </c>
      <c r="I23" s="62" t="e">
        <f>VLOOKUP(A23,saisie!B$5:W$44,9,0)</f>
        <v>#N/A</v>
      </c>
      <c r="J23" s="107" t="e">
        <f>VLOOKUP(A23,saisie!B$5:W$44,10,0)</f>
        <v>#N/A</v>
      </c>
      <c r="K23" s="107" t="e">
        <f>VLOOKUP(A23,saisie!B$5:W$44,11,0)</f>
        <v>#N/A</v>
      </c>
      <c r="L23" s="117" t="e">
        <f t="shared" si="1"/>
        <v>#N/A</v>
      </c>
      <c r="M23" s="65" t="e">
        <f>VLOOKUP(A23,saisie!B$5:W$44,13,0)</f>
        <v>#N/A</v>
      </c>
      <c r="N23" s="62" t="e">
        <f>VLOOKUP(A23,saisie!B$5:W$44,14,0)</f>
        <v>#N/A</v>
      </c>
      <c r="O23" s="107" t="e">
        <f>VLOOKUP(A23,saisie!B$5:W$44,15,0)</f>
        <v>#N/A</v>
      </c>
      <c r="P23" s="107" t="e">
        <f>VLOOKUP(A23,saisie!B$5:W$44,16,0)</f>
        <v>#N/A</v>
      </c>
      <c r="Q23" s="117" t="e">
        <f t="shared" si="2"/>
        <v>#N/A</v>
      </c>
      <c r="R23" s="65" t="e">
        <f>VLOOKUP(A23,saisie!B$5:W$44,18,0)</f>
        <v>#N/A</v>
      </c>
      <c r="S23" s="118" t="e">
        <f t="shared" si="3"/>
        <v>#N/A</v>
      </c>
      <c r="T23" s="66" t="e">
        <f>VLOOKUP(A23,saisie!B$5:W$44,20,0)</f>
        <v>#N/A</v>
      </c>
    </row>
    <row r="24" spans="1:20" ht="47.1" customHeight="1">
      <c r="A24" s="63" t="str">
        <f>IF(INFO!B8&gt;19,20,"")</f>
        <v/>
      </c>
      <c r="B24" s="108" t="e">
        <f>VLOOKUP(A24,saisie!B$5:W$44,2,0)</f>
        <v>#N/A</v>
      </c>
      <c r="C24" s="64" t="e">
        <f>VLOOKUP(A24,saisie!B$5:W$44,3,0)</f>
        <v>#N/A</v>
      </c>
      <c r="D24" s="62" t="e">
        <f>VLOOKUP(A24,saisie!B$5:W$44,4,0)</f>
        <v>#N/A</v>
      </c>
      <c r="E24" s="107" t="e">
        <f>VLOOKUP(A24,saisie!B$5:W$44,5,0)</f>
        <v>#N/A</v>
      </c>
      <c r="F24" s="107" t="e">
        <f>VLOOKUP(A24,saisie!B$5:W$44,6,0)</f>
        <v>#N/A</v>
      </c>
      <c r="G24" s="117" t="e">
        <f t="shared" si="0"/>
        <v>#N/A</v>
      </c>
      <c r="H24" s="65" t="e">
        <f>VLOOKUP(A24,saisie!B$5:W$44,8,0)</f>
        <v>#N/A</v>
      </c>
      <c r="I24" s="62" t="e">
        <f>VLOOKUP(A24,saisie!B$5:W$44,9,0)</f>
        <v>#N/A</v>
      </c>
      <c r="J24" s="107" t="e">
        <f>VLOOKUP(A24,saisie!B$5:W$44,10,0)</f>
        <v>#N/A</v>
      </c>
      <c r="K24" s="107" t="e">
        <f>VLOOKUP(A24,saisie!B$5:W$44,11,0)</f>
        <v>#N/A</v>
      </c>
      <c r="L24" s="117" t="e">
        <f t="shared" si="1"/>
        <v>#N/A</v>
      </c>
      <c r="M24" s="65" t="e">
        <f>VLOOKUP(A24,saisie!B$5:W$44,13,0)</f>
        <v>#N/A</v>
      </c>
      <c r="N24" s="62" t="e">
        <f>VLOOKUP(A24,saisie!B$5:W$44,14,0)</f>
        <v>#N/A</v>
      </c>
      <c r="O24" s="107" t="e">
        <f>VLOOKUP(A24,saisie!B$5:W$44,15,0)</f>
        <v>#N/A</v>
      </c>
      <c r="P24" s="107" t="e">
        <f>VLOOKUP(A24,saisie!B$5:W$44,16,0)</f>
        <v>#N/A</v>
      </c>
      <c r="Q24" s="117" t="e">
        <f t="shared" si="2"/>
        <v>#N/A</v>
      </c>
      <c r="R24" s="65" t="e">
        <f>VLOOKUP(A24,saisie!B$5:W$44,18,0)</f>
        <v>#N/A</v>
      </c>
      <c r="S24" s="118" t="e">
        <f t="shared" si="3"/>
        <v>#N/A</v>
      </c>
      <c r="T24" s="66" t="e">
        <f>VLOOKUP(A24,saisie!B$5:W$44,20,0)</f>
        <v>#N/A</v>
      </c>
    </row>
    <row r="25" spans="1:20" ht="47.1" customHeight="1">
      <c r="A25" s="63" t="str">
        <f>IF(INFO!B8&gt;20,21,"")</f>
        <v/>
      </c>
      <c r="B25" s="108" t="e">
        <f>VLOOKUP(A25,saisie!B$5:W$44,2,0)</f>
        <v>#N/A</v>
      </c>
      <c r="C25" s="64" t="e">
        <f>VLOOKUP(A25,saisie!B$5:W$44,3,0)</f>
        <v>#N/A</v>
      </c>
      <c r="D25" s="62" t="e">
        <f>VLOOKUP(A25,saisie!B$5:W$44,4,0)</f>
        <v>#N/A</v>
      </c>
      <c r="E25" s="107" t="e">
        <f>VLOOKUP(A25,saisie!B$5:W$44,5,0)</f>
        <v>#N/A</v>
      </c>
      <c r="F25" s="107" t="e">
        <f>VLOOKUP(A25,saisie!B$5:W$44,6,0)</f>
        <v>#N/A</v>
      </c>
      <c r="G25" s="117" t="e">
        <f t="shared" si="0"/>
        <v>#N/A</v>
      </c>
      <c r="H25" s="65" t="e">
        <f>VLOOKUP(A25,saisie!B$5:W$44,8,0)</f>
        <v>#N/A</v>
      </c>
      <c r="I25" s="62" t="e">
        <f>VLOOKUP(A25,saisie!B$5:W$44,9,0)</f>
        <v>#N/A</v>
      </c>
      <c r="J25" s="107" t="e">
        <f>VLOOKUP(A25,saisie!B$5:W$44,10,0)</f>
        <v>#N/A</v>
      </c>
      <c r="K25" s="107" t="e">
        <f>VLOOKUP(A25,saisie!B$5:W$44,11,0)</f>
        <v>#N/A</v>
      </c>
      <c r="L25" s="117" t="e">
        <f t="shared" si="1"/>
        <v>#N/A</v>
      </c>
      <c r="M25" s="65" t="e">
        <f>VLOOKUP(A25,saisie!B$5:W$44,13,0)</f>
        <v>#N/A</v>
      </c>
      <c r="N25" s="62" t="e">
        <f>VLOOKUP(A25,saisie!B$5:W$44,14,0)</f>
        <v>#N/A</v>
      </c>
      <c r="O25" s="107" t="e">
        <f>VLOOKUP(A25,saisie!B$5:W$44,15,0)</f>
        <v>#N/A</v>
      </c>
      <c r="P25" s="107" t="e">
        <f>VLOOKUP(A25,saisie!B$5:W$44,16,0)</f>
        <v>#N/A</v>
      </c>
      <c r="Q25" s="117" t="e">
        <f t="shared" si="2"/>
        <v>#N/A</v>
      </c>
      <c r="R25" s="65" t="e">
        <f>VLOOKUP(A25,saisie!B$5:W$44,18,0)</f>
        <v>#N/A</v>
      </c>
      <c r="S25" s="118" t="e">
        <f t="shared" si="3"/>
        <v>#N/A</v>
      </c>
      <c r="T25" s="66" t="e">
        <f>VLOOKUP(A25,saisie!B$5:W$44,20,0)</f>
        <v>#N/A</v>
      </c>
    </row>
    <row r="26" spans="1:20" ht="47.1" customHeight="1">
      <c r="A26" s="63" t="str">
        <f>IF(INFO!B8&gt;21,22,"")</f>
        <v/>
      </c>
      <c r="B26" s="108" t="e">
        <f>VLOOKUP(A26,saisie!B$5:W$44,2,0)</f>
        <v>#N/A</v>
      </c>
      <c r="C26" s="64" t="e">
        <f>VLOOKUP(A26,saisie!B$5:W$44,3,0)</f>
        <v>#N/A</v>
      </c>
      <c r="D26" s="62" t="e">
        <f>VLOOKUP(A26,saisie!B$5:W$44,4,0)</f>
        <v>#N/A</v>
      </c>
      <c r="E26" s="107" t="e">
        <f>VLOOKUP(A26,saisie!B$5:W$44,5,0)</f>
        <v>#N/A</v>
      </c>
      <c r="F26" s="107" t="e">
        <f>VLOOKUP(A26,saisie!B$5:W$44,6,0)</f>
        <v>#N/A</v>
      </c>
      <c r="G26" s="117" t="e">
        <f t="shared" si="0"/>
        <v>#N/A</v>
      </c>
      <c r="H26" s="65" t="e">
        <f>VLOOKUP(A26,saisie!B$5:W$44,8,0)</f>
        <v>#N/A</v>
      </c>
      <c r="I26" s="62" t="e">
        <f>VLOOKUP(A26,saisie!B$5:W$44,9,0)</f>
        <v>#N/A</v>
      </c>
      <c r="J26" s="107" t="e">
        <f>VLOOKUP(A26,saisie!B$5:W$44,10,0)</f>
        <v>#N/A</v>
      </c>
      <c r="K26" s="107" t="e">
        <f>VLOOKUP(A26,saisie!B$5:W$44,11,0)</f>
        <v>#N/A</v>
      </c>
      <c r="L26" s="117" t="e">
        <f t="shared" si="1"/>
        <v>#N/A</v>
      </c>
      <c r="M26" s="65" t="e">
        <f>VLOOKUP(A26,saisie!B$5:W$44,13,0)</f>
        <v>#N/A</v>
      </c>
      <c r="N26" s="62" t="e">
        <f>VLOOKUP(A26,saisie!B$5:W$44,14,0)</f>
        <v>#N/A</v>
      </c>
      <c r="O26" s="107" t="e">
        <f>VLOOKUP(A26,saisie!B$5:W$44,15,0)</f>
        <v>#N/A</v>
      </c>
      <c r="P26" s="107" t="e">
        <f>VLOOKUP(A26,saisie!B$5:W$44,16,0)</f>
        <v>#N/A</v>
      </c>
      <c r="Q26" s="117" t="e">
        <f t="shared" si="2"/>
        <v>#N/A</v>
      </c>
      <c r="R26" s="65" t="e">
        <f>VLOOKUP(A26,saisie!B$5:W$44,18,0)</f>
        <v>#N/A</v>
      </c>
      <c r="S26" s="118" t="e">
        <f t="shared" si="3"/>
        <v>#N/A</v>
      </c>
      <c r="T26" s="66" t="e">
        <f>VLOOKUP(A26,saisie!B$5:W$44,20,0)</f>
        <v>#N/A</v>
      </c>
    </row>
    <row r="27" spans="1:20" ht="47.1" customHeight="1">
      <c r="A27" s="63" t="str">
        <f>IF(INFO!B8&gt;22,23,"")</f>
        <v/>
      </c>
      <c r="B27" s="108" t="e">
        <f>VLOOKUP(A27,saisie!B$5:W$44,2,0)</f>
        <v>#N/A</v>
      </c>
      <c r="C27" s="64" t="e">
        <f>VLOOKUP(A27,saisie!B$5:W$44,3,0)</f>
        <v>#N/A</v>
      </c>
      <c r="D27" s="62" t="e">
        <f>VLOOKUP(A27,saisie!B$5:W$44,4,0)</f>
        <v>#N/A</v>
      </c>
      <c r="E27" s="107" t="e">
        <f>VLOOKUP(A27,saisie!B$5:W$44,5,0)</f>
        <v>#N/A</v>
      </c>
      <c r="F27" s="107" t="e">
        <f>VLOOKUP(A27,saisie!B$5:W$44,6,0)</f>
        <v>#N/A</v>
      </c>
      <c r="G27" s="117" t="e">
        <f t="shared" si="0"/>
        <v>#N/A</v>
      </c>
      <c r="H27" s="65" t="e">
        <f>VLOOKUP(A27,saisie!B$5:W$44,8,0)</f>
        <v>#N/A</v>
      </c>
      <c r="I27" s="62" t="e">
        <f>VLOOKUP(A27,saisie!B$5:W$44,9,0)</f>
        <v>#N/A</v>
      </c>
      <c r="J27" s="107" t="e">
        <f>VLOOKUP(A27,saisie!B$5:W$44,10,0)</f>
        <v>#N/A</v>
      </c>
      <c r="K27" s="107" t="e">
        <f>VLOOKUP(A27,saisie!B$5:W$44,11,0)</f>
        <v>#N/A</v>
      </c>
      <c r="L27" s="117" t="e">
        <f t="shared" si="1"/>
        <v>#N/A</v>
      </c>
      <c r="M27" s="65" t="e">
        <f>VLOOKUP(A27,saisie!B$5:W$44,13,0)</f>
        <v>#N/A</v>
      </c>
      <c r="N27" s="62" t="e">
        <f>VLOOKUP(A27,saisie!B$5:W$44,14,0)</f>
        <v>#N/A</v>
      </c>
      <c r="O27" s="107" t="e">
        <f>VLOOKUP(A27,saisie!B$5:W$44,15,0)</f>
        <v>#N/A</v>
      </c>
      <c r="P27" s="107" t="e">
        <f>VLOOKUP(A27,saisie!B$5:W$44,16,0)</f>
        <v>#N/A</v>
      </c>
      <c r="Q27" s="117" t="e">
        <f t="shared" si="2"/>
        <v>#N/A</v>
      </c>
      <c r="R27" s="65" t="e">
        <f>VLOOKUP(A27,saisie!B$5:W$44,18,0)</f>
        <v>#N/A</v>
      </c>
      <c r="S27" s="118" t="e">
        <f t="shared" si="3"/>
        <v>#N/A</v>
      </c>
      <c r="T27" s="66" t="e">
        <f>VLOOKUP(A27,saisie!B$5:W$44,20,0)</f>
        <v>#N/A</v>
      </c>
    </row>
    <row r="28" spans="1:20" ht="47.1" customHeight="1">
      <c r="A28" s="63" t="str">
        <f>IF(INFO!B8&gt;23,24,"")</f>
        <v/>
      </c>
      <c r="B28" s="108" t="e">
        <f>VLOOKUP(A28,saisie!B$5:W$44,2,0)</f>
        <v>#N/A</v>
      </c>
      <c r="C28" s="64" t="e">
        <f>VLOOKUP(A28,saisie!B$5:W$44,3,0)</f>
        <v>#N/A</v>
      </c>
      <c r="D28" s="62" t="e">
        <f>VLOOKUP(A28,saisie!B$5:W$44,4,0)</f>
        <v>#N/A</v>
      </c>
      <c r="E28" s="107" t="e">
        <f>VLOOKUP(A28,saisie!B$5:W$44,5,0)</f>
        <v>#N/A</v>
      </c>
      <c r="F28" s="107" t="e">
        <f>VLOOKUP(A28,saisie!B$5:W$44,6,0)</f>
        <v>#N/A</v>
      </c>
      <c r="G28" s="117" t="e">
        <f t="shared" si="0"/>
        <v>#N/A</v>
      </c>
      <c r="H28" s="65" t="e">
        <f>VLOOKUP(A28,saisie!B$5:W$44,8,0)</f>
        <v>#N/A</v>
      </c>
      <c r="I28" s="62" t="e">
        <f>VLOOKUP(A28,saisie!B$5:W$44,9,0)</f>
        <v>#N/A</v>
      </c>
      <c r="J28" s="107" t="e">
        <f>VLOOKUP(A28,saisie!B$5:W$44,10,0)</f>
        <v>#N/A</v>
      </c>
      <c r="K28" s="107" t="e">
        <f>VLOOKUP(A28,saisie!B$5:W$44,11,0)</f>
        <v>#N/A</v>
      </c>
      <c r="L28" s="117" t="e">
        <f t="shared" si="1"/>
        <v>#N/A</v>
      </c>
      <c r="M28" s="65" t="e">
        <f>VLOOKUP(A28,saisie!B$5:W$44,13,0)</f>
        <v>#N/A</v>
      </c>
      <c r="N28" s="62" t="e">
        <f>VLOOKUP(A28,saisie!B$5:W$44,14,0)</f>
        <v>#N/A</v>
      </c>
      <c r="O28" s="107" t="e">
        <f>VLOOKUP(A28,saisie!B$5:W$44,15,0)</f>
        <v>#N/A</v>
      </c>
      <c r="P28" s="107" t="e">
        <f>VLOOKUP(A28,saisie!B$5:W$44,16,0)</f>
        <v>#N/A</v>
      </c>
      <c r="Q28" s="117" t="e">
        <f t="shared" si="2"/>
        <v>#N/A</v>
      </c>
      <c r="R28" s="65" t="e">
        <f>VLOOKUP(A28,saisie!B$5:W$44,18,0)</f>
        <v>#N/A</v>
      </c>
      <c r="S28" s="118" t="e">
        <f t="shared" si="3"/>
        <v>#N/A</v>
      </c>
      <c r="T28" s="66" t="e">
        <f>VLOOKUP(A28,saisie!B$5:W$44,20,0)</f>
        <v>#N/A</v>
      </c>
    </row>
    <row r="29" spans="1:20" ht="47.1" customHeight="1">
      <c r="A29" s="63" t="str">
        <f>IF(INFO!B8&gt;24,25,"")</f>
        <v/>
      </c>
      <c r="B29" s="108" t="e">
        <f>VLOOKUP(A29,saisie!B$5:W$44,2,0)</f>
        <v>#N/A</v>
      </c>
      <c r="C29" s="64" t="e">
        <f>VLOOKUP(A29,saisie!B$5:W$44,3,0)</f>
        <v>#N/A</v>
      </c>
      <c r="D29" s="62" t="e">
        <f>VLOOKUP(A29,saisie!B$5:W$44,4,0)</f>
        <v>#N/A</v>
      </c>
      <c r="E29" s="107" t="e">
        <f>VLOOKUP(A29,saisie!B$5:W$44,5,0)</f>
        <v>#N/A</v>
      </c>
      <c r="F29" s="107" t="e">
        <f>VLOOKUP(A29,saisie!B$5:W$44,6,0)</f>
        <v>#N/A</v>
      </c>
      <c r="G29" s="117" t="e">
        <f t="shared" si="0"/>
        <v>#N/A</v>
      </c>
      <c r="H29" s="65" t="e">
        <f>VLOOKUP(A29,saisie!B$5:W$44,8,0)</f>
        <v>#N/A</v>
      </c>
      <c r="I29" s="62" t="e">
        <f>VLOOKUP(A29,saisie!B$5:W$44,9,0)</f>
        <v>#N/A</v>
      </c>
      <c r="J29" s="107" t="e">
        <f>VLOOKUP(A29,saisie!B$5:W$44,10,0)</f>
        <v>#N/A</v>
      </c>
      <c r="K29" s="107" t="e">
        <f>VLOOKUP(A29,saisie!B$5:W$44,11,0)</f>
        <v>#N/A</v>
      </c>
      <c r="L29" s="117" t="e">
        <f t="shared" si="1"/>
        <v>#N/A</v>
      </c>
      <c r="M29" s="65" t="e">
        <f>VLOOKUP(A29,saisie!B$5:W$44,13,0)</f>
        <v>#N/A</v>
      </c>
      <c r="N29" s="62" t="e">
        <f>VLOOKUP(A29,saisie!B$5:W$44,14,0)</f>
        <v>#N/A</v>
      </c>
      <c r="O29" s="107" t="e">
        <f>VLOOKUP(A29,saisie!B$5:W$44,15,0)</f>
        <v>#N/A</v>
      </c>
      <c r="P29" s="107" t="e">
        <f>VLOOKUP(A29,saisie!B$5:W$44,16,0)</f>
        <v>#N/A</v>
      </c>
      <c r="Q29" s="117" t="e">
        <f t="shared" si="2"/>
        <v>#N/A</v>
      </c>
      <c r="R29" s="65" t="e">
        <f>VLOOKUP(A29,saisie!B$5:W$44,18,0)</f>
        <v>#N/A</v>
      </c>
      <c r="S29" s="118" t="e">
        <f t="shared" si="3"/>
        <v>#N/A</v>
      </c>
      <c r="T29" s="66" t="e">
        <f>VLOOKUP(A29,saisie!B$5:W$44,20,0)</f>
        <v>#N/A</v>
      </c>
    </row>
    <row r="30" spans="1:20" ht="47.1" customHeight="1">
      <c r="A30" s="63" t="str">
        <f>IF(INFO!B8&gt;25,26,"")</f>
        <v/>
      </c>
      <c r="B30" s="108" t="e">
        <f>VLOOKUP(A30,saisie!B$5:W$44,2,0)</f>
        <v>#N/A</v>
      </c>
      <c r="C30" s="64" t="e">
        <f>VLOOKUP(A30,saisie!B$5:W$44,3,0)</f>
        <v>#N/A</v>
      </c>
      <c r="D30" s="62" t="e">
        <f>VLOOKUP(A30,saisie!B$5:W$44,4,0)</f>
        <v>#N/A</v>
      </c>
      <c r="E30" s="107" t="e">
        <f>VLOOKUP(A30,saisie!B$5:W$44,5,0)</f>
        <v>#N/A</v>
      </c>
      <c r="F30" s="107" t="e">
        <f>VLOOKUP(A30,saisie!B$5:W$44,6,0)</f>
        <v>#N/A</v>
      </c>
      <c r="G30" s="117" t="e">
        <f t="shared" si="0"/>
        <v>#N/A</v>
      </c>
      <c r="H30" s="65" t="e">
        <f>VLOOKUP(A30,saisie!B$5:W$44,8,0)</f>
        <v>#N/A</v>
      </c>
      <c r="I30" s="62" t="e">
        <f>VLOOKUP(A30,saisie!B$5:W$44,9,0)</f>
        <v>#N/A</v>
      </c>
      <c r="J30" s="107" t="e">
        <f>VLOOKUP(A30,saisie!B$5:W$44,10,0)</f>
        <v>#N/A</v>
      </c>
      <c r="K30" s="107" t="e">
        <f>VLOOKUP(A30,saisie!B$5:W$44,11,0)</f>
        <v>#N/A</v>
      </c>
      <c r="L30" s="117" t="e">
        <f t="shared" si="1"/>
        <v>#N/A</v>
      </c>
      <c r="M30" s="65" t="e">
        <f>VLOOKUP(A30,saisie!B$5:W$44,13,0)</f>
        <v>#N/A</v>
      </c>
      <c r="N30" s="62" t="e">
        <f>VLOOKUP(A30,saisie!B$5:W$44,14,0)</f>
        <v>#N/A</v>
      </c>
      <c r="O30" s="107" t="e">
        <f>VLOOKUP(A30,saisie!B$5:W$44,15,0)</f>
        <v>#N/A</v>
      </c>
      <c r="P30" s="107" t="e">
        <f>VLOOKUP(A30,saisie!B$5:W$44,16,0)</f>
        <v>#N/A</v>
      </c>
      <c r="Q30" s="117" t="e">
        <f t="shared" si="2"/>
        <v>#N/A</v>
      </c>
      <c r="R30" s="65" t="e">
        <f>VLOOKUP(A30,saisie!B$5:W$44,18,0)</f>
        <v>#N/A</v>
      </c>
      <c r="S30" s="118" t="e">
        <f t="shared" si="3"/>
        <v>#N/A</v>
      </c>
      <c r="T30" s="66" t="e">
        <f>VLOOKUP(A30,saisie!B$5:W$44,20,0)</f>
        <v>#N/A</v>
      </c>
    </row>
    <row r="31" spans="1:20" ht="47.1" customHeight="1">
      <c r="A31" s="63" t="str">
        <f>IF(INFO!B8&gt;26,27,"")</f>
        <v/>
      </c>
      <c r="B31" s="108" t="e">
        <f>VLOOKUP(A31,saisie!B$5:W$44,2,0)</f>
        <v>#N/A</v>
      </c>
      <c r="C31" s="64" t="e">
        <f>VLOOKUP(A31,saisie!B$5:W$44,3,0)</f>
        <v>#N/A</v>
      </c>
      <c r="D31" s="62" t="e">
        <f>VLOOKUP(A31,saisie!B$5:W$44,4,0)</f>
        <v>#N/A</v>
      </c>
      <c r="E31" s="107" t="e">
        <f>VLOOKUP(A31,saisie!B$5:W$44,5,0)</f>
        <v>#N/A</v>
      </c>
      <c r="F31" s="107" t="e">
        <f>VLOOKUP(A31,saisie!B$5:W$44,6,0)</f>
        <v>#N/A</v>
      </c>
      <c r="G31" s="117" t="e">
        <f t="shared" si="0"/>
        <v>#N/A</v>
      </c>
      <c r="H31" s="65" t="e">
        <f>VLOOKUP(A31,saisie!B$5:W$44,8,0)</f>
        <v>#N/A</v>
      </c>
      <c r="I31" s="62" t="e">
        <f>VLOOKUP(A31,saisie!B$5:W$44,9,0)</f>
        <v>#N/A</v>
      </c>
      <c r="J31" s="107" t="e">
        <f>VLOOKUP(A31,saisie!B$5:W$44,10,0)</f>
        <v>#N/A</v>
      </c>
      <c r="K31" s="107" t="e">
        <f>VLOOKUP(A31,saisie!B$5:W$44,11,0)</f>
        <v>#N/A</v>
      </c>
      <c r="L31" s="117" t="e">
        <f t="shared" si="1"/>
        <v>#N/A</v>
      </c>
      <c r="M31" s="65" t="e">
        <f>VLOOKUP(A31,saisie!B$5:W$44,13,0)</f>
        <v>#N/A</v>
      </c>
      <c r="N31" s="62" t="e">
        <f>VLOOKUP(A31,saisie!B$5:W$44,14,0)</f>
        <v>#N/A</v>
      </c>
      <c r="O31" s="107" t="e">
        <f>VLOOKUP(A31,saisie!B$5:W$44,15,0)</f>
        <v>#N/A</v>
      </c>
      <c r="P31" s="107" t="e">
        <f>VLOOKUP(A31,saisie!B$5:W$44,16,0)</f>
        <v>#N/A</v>
      </c>
      <c r="Q31" s="117" t="e">
        <f t="shared" si="2"/>
        <v>#N/A</v>
      </c>
      <c r="R31" s="65" t="e">
        <f>VLOOKUP(A31,saisie!B$5:W$44,18,0)</f>
        <v>#N/A</v>
      </c>
      <c r="S31" s="118" t="e">
        <f t="shared" si="3"/>
        <v>#N/A</v>
      </c>
      <c r="T31" s="66" t="e">
        <f>VLOOKUP(A31,saisie!B$5:W$44,20,0)</f>
        <v>#N/A</v>
      </c>
    </row>
    <row r="32" spans="1:20" ht="47.1" customHeight="1">
      <c r="A32" s="63" t="str">
        <f>IF(INFO!B8&gt;27,28,"")</f>
        <v/>
      </c>
      <c r="B32" s="108" t="e">
        <f>VLOOKUP(A32,saisie!B$5:W$44,2,0)</f>
        <v>#N/A</v>
      </c>
      <c r="C32" s="64" t="e">
        <f>VLOOKUP(A32,saisie!B$5:W$44,3,0)</f>
        <v>#N/A</v>
      </c>
      <c r="D32" s="62" t="e">
        <f>VLOOKUP(A32,saisie!B$5:W$44,4,0)</f>
        <v>#N/A</v>
      </c>
      <c r="E32" s="107" t="e">
        <f>VLOOKUP(A32,saisie!B$5:W$44,5,0)</f>
        <v>#N/A</v>
      </c>
      <c r="F32" s="107" t="e">
        <f>VLOOKUP(A32,saisie!B$5:W$44,6,0)</f>
        <v>#N/A</v>
      </c>
      <c r="G32" s="117" t="e">
        <f t="shared" si="0"/>
        <v>#N/A</v>
      </c>
      <c r="H32" s="65" t="e">
        <f>VLOOKUP(A32,saisie!B$5:W$44,8,0)</f>
        <v>#N/A</v>
      </c>
      <c r="I32" s="62" t="e">
        <f>VLOOKUP(A32,saisie!B$5:W$44,9,0)</f>
        <v>#N/A</v>
      </c>
      <c r="J32" s="107" t="e">
        <f>VLOOKUP(A32,saisie!B$5:W$44,10,0)</f>
        <v>#N/A</v>
      </c>
      <c r="K32" s="107" t="e">
        <f>VLOOKUP(A32,saisie!B$5:W$44,11,0)</f>
        <v>#N/A</v>
      </c>
      <c r="L32" s="117" t="e">
        <f t="shared" si="1"/>
        <v>#N/A</v>
      </c>
      <c r="M32" s="65" t="e">
        <f>VLOOKUP(A32,saisie!B$5:W$44,13,0)</f>
        <v>#N/A</v>
      </c>
      <c r="N32" s="62" t="e">
        <f>VLOOKUP(A32,saisie!B$5:W$44,14,0)</f>
        <v>#N/A</v>
      </c>
      <c r="O32" s="107" t="e">
        <f>VLOOKUP(A32,saisie!B$5:W$44,15,0)</f>
        <v>#N/A</v>
      </c>
      <c r="P32" s="107" t="e">
        <f>VLOOKUP(A32,saisie!B$5:W$44,16,0)</f>
        <v>#N/A</v>
      </c>
      <c r="Q32" s="117" t="e">
        <f t="shared" si="2"/>
        <v>#N/A</v>
      </c>
      <c r="R32" s="65" t="e">
        <f>VLOOKUP(A32,saisie!B$5:W$44,18,0)</f>
        <v>#N/A</v>
      </c>
      <c r="S32" s="118" t="e">
        <f t="shared" si="3"/>
        <v>#N/A</v>
      </c>
      <c r="T32" s="66" t="e">
        <f>VLOOKUP(A32,saisie!B$5:W$44,20,0)</f>
        <v>#N/A</v>
      </c>
    </row>
    <row r="33" spans="1:20" ht="47.1" customHeight="1">
      <c r="A33" s="63" t="str">
        <f>IF(INFO!B8&gt;28,29,"")</f>
        <v/>
      </c>
      <c r="B33" s="108" t="e">
        <f>VLOOKUP(A33,saisie!B$5:W$44,2,0)</f>
        <v>#N/A</v>
      </c>
      <c r="C33" s="64" t="e">
        <f>VLOOKUP(A33,saisie!B$5:W$44,3,0)</f>
        <v>#N/A</v>
      </c>
      <c r="D33" s="62" t="e">
        <f>VLOOKUP(A33,saisie!B$5:W$44,4,0)</f>
        <v>#N/A</v>
      </c>
      <c r="E33" s="107" t="e">
        <f>VLOOKUP(A33,saisie!B$5:W$44,5,0)</f>
        <v>#N/A</v>
      </c>
      <c r="F33" s="107" t="e">
        <f>VLOOKUP(A33,saisie!B$5:W$44,6,0)</f>
        <v>#N/A</v>
      </c>
      <c r="G33" s="117" t="e">
        <f t="shared" si="0"/>
        <v>#N/A</v>
      </c>
      <c r="H33" s="65" t="e">
        <f>VLOOKUP(A33,saisie!B$5:W$44,8,0)</f>
        <v>#N/A</v>
      </c>
      <c r="I33" s="62" t="e">
        <f>VLOOKUP(A33,saisie!B$5:W$44,9,0)</f>
        <v>#N/A</v>
      </c>
      <c r="J33" s="107" t="e">
        <f>VLOOKUP(A33,saisie!B$5:W$44,10,0)</f>
        <v>#N/A</v>
      </c>
      <c r="K33" s="107" t="e">
        <f>VLOOKUP(A33,saisie!B$5:W$44,11,0)</f>
        <v>#N/A</v>
      </c>
      <c r="L33" s="117" t="e">
        <f t="shared" si="1"/>
        <v>#N/A</v>
      </c>
      <c r="M33" s="65" t="e">
        <f>VLOOKUP(A33,saisie!B$5:W$44,13,0)</f>
        <v>#N/A</v>
      </c>
      <c r="N33" s="62" t="e">
        <f>VLOOKUP(A33,saisie!B$5:W$44,14,0)</f>
        <v>#N/A</v>
      </c>
      <c r="O33" s="107" t="e">
        <f>VLOOKUP(A33,saisie!B$5:W$44,15,0)</f>
        <v>#N/A</v>
      </c>
      <c r="P33" s="107" t="e">
        <f>VLOOKUP(A33,saisie!B$5:W$44,16,0)</f>
        <v>#N/A</v>
      </c>
      <c r="Q33" s="117" t="e">
        <f t="shared" si="2"/>
        <v>#N/A</v>
      </c>
      <c r="R33" s="65" t="e">
        <f>VLOOKUP(A33,saisie!B$5:W$44,18,0)</f>
        <v>#N/A</v>
      </c>
      <c r="S33" s="118" t="e">
        <f t="shared" si="3"/>
        <v>#N/A</v>
      </c>
      <c r="T33" s="66" t="e">
        <f>VLOOKUP(A33,saisie!B$5:W$44,20,0)</f>
        <v>#N/A</v>
      </c>
    </row>
    <row r="34" spans="1:20" ht="47.1" customHeight="1">
      <c r="A34" s="63" t="str">
        <f>IF(INFO!B8&gt;29,30,"")</f>
        <v/>
      </c>
      <c r="B34" s="108" t="e">
        <f>VLOOKUP(A34,saisie!B$5:W$44,2,0)</f>
        <v>#N/A</v>
      </c>
      <c r="C34" s="64" t="e">
        <f>VLOOKUP(A34,saisie!B$5:W$44,3,0)</f>
        <v>#N/A</v>
      </c>
      <c r="D34" s="62" t="e">
        <f>VLOOKUP(A34,saisie!B$5:W$44,4,0)</f>
        <v>#N/A</v>
      </c>
      <c r="E34" s="107" t="e">
        <f>VLOOKUP(A34,saisie!B$5:W$44,5,0)</f>
        <v>#N/A</v>
      </c>
      <c r="F34" s="107" t="e">
        <f>VLOOKUP(A34,saisie!B$5:W$44,6,0)</f>
        <v>#N/A</v>
      </c>
      <c r="G34" s="117" t="e">
        <f t="shared" si="0"/>
        <v>#N/A</v>
      </c>
      <c r="H34" s="65" t="e">
        <f>VLOOKUP(A34,saisie!B$5:W$44,8,0)</f>
        <v>#N/A</v>
      </c>
      <c r="I34" s="62" t="e">
        <f>VLOOKUP(A34,saisie!B$5:W$44,9,0)</f>
        <v>#N/A</v>
      </c>
      <c r="J34" s="107" t="e">
        <f>VLOOKUP(A34,saisie!B$5:W$44,10,0)</f>
        <v>#N/A</v>
      </c>
      <c r="K34" s="107" t="e">
        <f>VLOOKUP(A34,saisie!B$5:W$44,11,0)</f>
        <v>#N/A</v>
      </c>
      <c r="L34" s="117" t="e">
        <f t="shared" si="1"/>
        <v>#N/A</v>
      </c>
      <c r="M34" s="65" t="e">
        <f>VLOOKUP(A34,saisie!B$5:W$44,13,0)</f>
        <v>#N/A</v>
      </c>
      <c r="N34" s="62" t="e">
        <f>VLOOKUP(A34,saisie!B$5:W$44,14,0)</f>
        <v>#N/A</v>
      </c>
      <c r="O34" s="107" t="e">
        <f>VLOOKUP(A34,saisie!B$5:W$44,15,0)</f>
        <v>#N/A</v>
      </c>
      <c r="P34" s="107" t="e">
        <f>VLOOKUP(A34,saisie!B$5:W$44,16,0)</f>
        <v>#N/A</v>
      </c>
      <c r="Q34" s="117" t="e">
        <f t="shared" si="2"/>
        <v>#N/A</v>
      </c>
      <c r="R34" s="65" t="e">
        <f>VLOOKUP(A34,saisie!B$5:W$44,18,0)</f>
        <v>#N/A</v>
      </c>
      <c r="S34" s="118" t="e">
        <f t="shared" si="3"/>
        <v>#N/A</v>
      </c>
      <c r="T34" s="66" t="e">
        <f>VLOOKUP(A34,saisie!B$5:W$44,20,0)</f>
        <v>#N/A</v>
      </c>
    </row>
    <row r="35" spans="1:20" ht="47.1" customHeight="1">
      <c r="A35" s="63" t="str">
        <f>IF(INFO!B8&gt;30,31,"")</f>
        <v/>
      </c>
      <c r="B35" s="108" t="e">
        <f>VLOOKUP(A35,saisie!B$5:W$44,2,0)</f>
        <v>#N/A</v>
      </c>
      <c r="C35" s="64" t="e">
        <f>VLOOKUP(A35,saisie!B$5:W$44,3,0)</f>
        <v>#N/A</v>
      </c>
      <c r="D35" s="62" t="e">
        <f>VLOOKUP(A35,saisie!B$5:W$44,4,0)</f>
        <v>#N/A</v>
      </c>
      <c r="E35" s="107" t="e">
        <f>VLOOKUP(A35,saisie!B$5:W$44,5,0)</f>
        <v>#N/A</v>
      </c>
      <c r="F35" s="107" t="e">
        <f>VLOOKUP(A35,saisie!B$5:W$44,6,0)</f>
        <v>#N/A</v>
      </c>
      <c r="G35" s="117" t="e">
        <f t="shared" si="0"/>
        <v>#N/A</v>
      </c>
      <c r="H35" s="65" t="e">
        <f>VLOOKUP(A35,saisie!B$5:W$44,8,0)</f>
        <v>#N/A</v>
      </c>
      <c r="I35" s="62" t="e">
        <f>VLOOKUP(A35,saisie!B$5:W$44,9,0)</f>
        <v>#N/A</v>
      </c>
      <c r="J35" s="107" t="e">
        <f>VLOOKUP(A35,saisie!B$5:W$44,10,0)</f>
        <v>#N/A</v>
      </c>
      <c r="K35" s="107" t="e">
        <f>VLOOKUP(A35,saisie!B$5:W$44,11,0)</f>
        <v>#N/A</v>
      </c>
      <c r="L35" s="117" t="e">
        <f t="shared" si="1"/>
        <v>#N/A</v>
      </c>
      <c r="M35" s="65" t="e">
        <f>VLOOKUP(A35,saisie!B$5:W$44,13,0)</f>
        <v>#N/A</v>
      </c>
      <c r="N35" s="62" t="e">
        <f>VLOOKUP(A35,saisie!B$5:W$44,14,0)</f>
        <v>#N/A</v>
      </c>
      <c r="O35" s="107" t="e">
        <f>VLOOKUP(A35,saisie!B$5:W$44,15,0)</f>
        <v>#N/A</v>
      </c>
      <c r="P35" s="107" t="e">
        <f>VLOOKUP(A35,saisie!B$5:W$44,16,0)</f>
        <v>#N/A</v>
      </c>
      <c r="Q35" s="117" t="e">
        <f t="shared" si="2"/>
        <v>#N/A</v>
      </c>
      <c r="R35" s="65" t="e">
        <f>VLOOKUP(A35,saisie!B$5:W$44,18,0)</f>
        <v>#N/A</v>
      </c>
      <c r="S35" s="118" t="e">
        <f t="shared" si="3"/>
        <v>#N/A</v>
      </c>
      <c r="T35" s="66" t="e">
        <f>VLOOKUP(A35,saisie!B$5:W$44,20,0)</f>
        <v>#N/A</v>
      </c>
    </row>
    <row r="36" spans="1:20" ht="47.1" customHeight="1">
      <c r="A36" s="63" t="str">
        <f>IF(INFO!B8&gt;31,32,"")</f>
        <v/>
      </c>
      <c r="B36" s="108" t="e">
        <f>VLOOKUP(A36,saisie!B$5:W$44,2,0)</f>
        <v>#N/A</v>
      </c>
      <c r="C36" s="64" t="e">
        <f>VLOOKUP(A36,saisie!B$5:W$44,3,0)</f>
        <v>#N/A</v>
      </c>
      <c r="D36" s="62" t="e">
        <f>VLOOKUP(A36,saisie!B$5:W$44,4,0)</f>
        <v>#N/A</v>
      </c>
      <c r="E36" s="107" t="e">
        <f>VLOOKUP(A36,saisie!B$5:W$44,5,0)</f>
        <v>#N/A</v>
      </c>
      <c r="F36" s="107" t="e">
        <f>VLOOKUP(A36,saisie!B$5:W$44,6,0)</f>
        <v>#N/A</v>
      </c>
      <c r="G36" s="117" t="e">
        <f t="shared" si="0"/>
        <v>#N/A</v>
      </c>
      <c r="H36" s="65" t="e">
        <f>VLOOKUP(A36,saisie!B$5:W$44,8,0)</f>
        <v>#N/A</v>
      </c>
      <c r="I36" s="62" t="e">
        <f>VLOOKUP(A36,saisie!B$5:W$44,9,0)</f>
        <v>#N/A</v>
      </c>
      <c r="J36" s="107" t="e">
        <f>VLOOKUP(A36,saisie!B$5:W$44,10,0)</f>
        <v>#N/A</v>
      </c>
      <c r="K36" s="107" t="e">
        <f>VLOOKUP(A36,saisie!B$5:W$44,11,0)</f>
        <v>#N/A</v>
      </c>
      <c r="L36" s="117" t="e">
        <f t="shared" si="1"/>
        <v>#N/A</v>
      </c>
      <c r="M36" s="65" t="e">
        <f>VLOOKUP(A36,saisie!B$5:W$44,13,0)</f>
        <v>#N/A</v>
      </c>
      <c r="N36" s="62" t="e">
        <f>VLOOKUP(A36,saisie!B$5:W$44,14,0)</f>
        <v>#N/A</v>
      </c>
      <c r="O36" s="107" t="e">
        <f>VLOOKUP(A36,saisie!B$5:W$44,15,0)</f>
        <v>#N/A</v>
      </c>
      <c r="P36" s="107" t="e">
        <f>VLOOKUP(A36,saisie!B$5:W$44,16,0)</f>
        <v>#N/A</v>
      </c>
      <c r="Q36" s="117" t="e">
        <f t="shared" si="2"/>
        <v>#N/A</v>
      </c>
      <c r="R36" s="65" t="e">
        <f>VLOOKUP(A36,saisie!B$5:W$44,18,0)</f>
        <v>#N/A</v>
      </c>
      <c r="S36" s="118" t="e">
        <f t="shared" si="3"/>
        <v>#N/A</v>
      </c>
      <c r="T36" s="66" t="e">
        <f>VLOOKUP(A36,saisie!B$5:W$44,20,0)</f>
        <v>#N/A</v>
      </c>
    </row>
    <row r="37" spans="1:20" ht="47.1" customHeight="1">
      <c r="A37" s="63" t="str">
        <f>IF(INFO!B8&gt;32,33,"")</f>
        <v/>
      </c>
      <c r="B37" s="108" t="e">
        <f>VLOOKUP(A37,saisie!B$5:W$44,2,0)</f>
        <v>#N/A</v>
      </c>
      <c r="C37" s="64" t="e">
        <f>VLOOKUP(A37,saisie!B$5:W$44,3,0)</f>
        <v>#N/A</v>
      </c>
      <c r="D37" s="62" t="e">
        <f>VLOOKUP(A37,saisie!B$5:W$44,4,0)</f>
        <v>#N/A</v>
      </c>
      <c r="E37" s="107" t="e">
        <f>VLOOKUP(A37,saisie!B$5:W$44,5,0)</f>
        <v>#N/A</v>
      </c>
      <c r="F37" s="107" t="e">
        <f>VLOOKUP(A37,saisie!B$5:W$44,6,0)</f>
        <v>#N/A</v>
      </c>
      <c r="G37" s="117" t="e">
        <f t="shared" si="0"/>
        <v>#N/A</v>
      </c>
      <c r="H37" s="65" t="e">
        <f>VLOOKUP(A37,saisie!B$5:W$44,8,0)</f>
        <v>#N/A</v>
      </c>
      <c r="I37" s="62" t="e">
        <f>VLOOKUP(A37,saisie!B$5:W$44,9,0)</f>
        <v>#N/A</v>
      </c>
      <c r="J37" s="107" t="e">
        <f>VLOOKUP(A37,saisie!B$5:W$44,10,0)</f>
        <v>#N/A</v>
      </c>
      <c r="K37" s="107" t="e">
        <f>VLOOKUP(A37,saisie!B$5:W$44,11,0)</f>
        <v>#N/A</v>
      </c>
      <c r="L37" s="117" t="e">
        <f t="shared" si="1"/>
        <v>#N/A</v>
      </c>
      <c r="M37" s="65" t="e">
        <f>VLOOKUP(A37,saisie!B$5:W$44,13,0)</f>
        <v>#N/A</v>
      </c>
      <c r="N37" s="62" t="e">
        <f>VLOOKUP(A37,saisie!B$5:W$44,14,0)</f>
        <v>#N/A</v>
      </c>
      <c r="O37" s="107" t="e">
        <f>VLOOKUP(A37,saisie!B$5:W$44,15,0)</f>
        <v>#N/A</v>
      </c>
      <c r="P37" s="107" t="e">
        <f>VLOOKUP(A37,saisie!B$5:W$44,16,0)</f>
        <v>#N/A</v>
      </c>
      <c r="Q37" s="117" t="e">
        <f t="shared" si="2"/>
        <v>#N/A</v>
      </c>
      <c r="R37" s="65" t="e">
        <f>VLOOKUP(A37,saisie!B$5:W$44,18,0)</f>
        <v>#N/A</v>
      </c>
      <c r="S37" s="118" t="e">
        <f t="shared" si="3"/>
        <v>#N/A</v>
      </c>
      <c r="T37" s="66" t="e">
        <f>VLOOKUP(A37,saisie!B$5:W$44,20,0)</f>
        <v>#N/A</v>
      </c>
    </row>
    <row r="38" spans="1:20" ht="47.1" customHeight="1">
      <c r="A38" s="63" t="str">
        <f>IF(INFO!B8&gt;33,34,"")</f>
        <v/>
      </c>
      <c r="B38" s="108" t="e">
        <f>VLOOKUP(A38,saisie!B$5:W$44,2,0)</f>
        <v>#N/A</v>
      </c>
      <c r="C38" s="64" t="e">
        <f>VLOOKUP(A38,saisie!B$5:W$44,3,0)</f>
        <v>#N/A</v>
      </c>
      <c r="D38" s="62" t="e">
        <f>VLOOKUP(A38,saisie!B$5:W$44,4,0)</f>
        <v>#N/A</v>
      </c>
      <c r="E38" s="107" t="e">
        <f>VLOOKUP(A38,saisie!B$5:W$44,5,0)</f>
        <v>#N/A</v>
      </c>
      <c r="F38" s="107" t="e">
        <f>VLOOKUP(A38,saisie!B$5:W$44,6,0)</f>
        <v>#N/A</v>
      </c>
      <c r="G38" s="117" t="e">
        <f t="shared" si="0"/>
        <v>#N/A</v>
      </c>
      <c r="H38" s="65" t="e">
        <f>VLOOKUP(A38,saisie!B$5:W$44,8,0)</f>
        <v>#N/A</v>
      </c>
      <c r="I38" s="62" t="e">
        <f>VLOOKUP(A38,saisie!B$5:W$44,9,0)</f>
        <v>#N/A</v>
      </c>
      <c r="J38" s="107" t="e">
        <f>VLOOKUP(A38,saisie!B$5:W$44,10,0)</f>
        <v>#N/A</v>
      </c>
      <c r="K38" s="107" t="e">
        <f>VLOOKUP(A38,saisie!B$5:W$44,11,0)</f>
        <v>#N/A</v>
      </c>
      <c r="L38" s="117" t="e">
        <f t="shared" si="1"/>
        <v>#N/A</v>
      </c>
      <c r="M38" s="65" t="e">
        <f>VLOOKUP(A38,saisie!B$5:W$44,13,0)</f>
        <v>#N/A</v>
      </c>
      <c r="N38" s="62" t="e">
        <f>VLOOKUP(A38,saisie!B$5:W$44,14,0)</f>
        <v>#N/A</v>
      </c>
      <c r="O38" s="107" t="e">
        <f>VLOOKUP(A38,saisie!B$5:W$44,15,0)</f>
        <v>#N/A</v>
      </c>
      <c r="P38" s="107" t="e">
        <f>VLOOKUP(A38,saisie!B$5:W$44,16,0)</f>
        <v>#N/A</v>
      </c>
      <c r="Q38" s="117" t="e">
        <f t="shared" si="2"/>
        <v>#N/A</v>
      </c>
      <c r="R38" s="65" t="e">
        <f>VLOOKUP(A38,saisie!B$5:W$44,18,0)</f>
        <v>#N/A</v>
      </c>
      <c r="S38" s="118" t="e">
        <f t="shared" si="3"/>
        <v>#N/A</v>
      </c>
      <c r="T38" s="66" t="e">
        <f>VLOOKUP(A38,saisie!B$5:W$44,20,0)</f>
        <v>#N/A</v>
      </c>
    </row>
    <row r="39" spans="1:20" ht="47.1" customHeight="1">
      <c r="A39" s="63" t="str">
        <f>IF(INFO!B8&gt;34,35,"")</f>
        <v/>
      </c>
      <c r="B39" s="108" t="e">
        <f>VLOOKUP(A39,saisie!B$5:W$44,2,0)</f>
        <v>#N/A</v>
      </c>
      <c r="C39" s="64" t="e">
        <f>VLOOKUP(A39,saisie!B$5:W$44,3,0)</f>
        <v>#N/A</v>
      </c>
      <c r="D39" s="62" t="e">
        <f>VLOOKUP(A39,saisie!B$5:W$44,4,0)</f>
        <v>#N/A</v>
      </c>
      <c r="E39" s="107" t="e">
        <f>VLOOKUP(A39,saisie!B$5:W$44,5,0)</f>
        <v>#N/A</v>
      </c>
      <c r="F39" s="107" t="e">
        <f>VLOOKUP(A39,saisie!B$5:W$44,6,0)</f>
        <v>#N/A</v>
      </c>
      <c r="G39" s="117" t="e">
        <f t="shared" si="0"/>
        <v>#N/A</v>
      </c>
      <c r="H39" s="65" t="e">
        <f>VLOOKUP(A39,saisie!B$5:W$44,8,0)</f>
        <v>#N/A</v>
      </c>
      <c r="I39" s="62" t="e">
        <f>VLOOKUP(A39,saisie!B$5:W$44,9,0)</f>
        <v>#N/A</v>
      </c>
      <c r="J39" s="107" t="e">
        <f>VLOOKUP(A39,saisie!B$5:W$44,10,0)</f>
        <v>#N/A</v>
      </c>
      <c r="K39" s="107" t="e">
        <f>VLOOKUP(A39,saisie!B$5:W$44,11,0)</f>
        <v>#N/A</v>
      </c>
      <c r="L39" s="117" t="e">
        <f t="shared" si="1"/>
        <v>#N/A</v>
      </c>
      <c r="M39" s="65" t="e">
        <f>VLOOKUP(A39,saisie!B$5:W$44,13,0)</f>
        <v>#N/A</v>
      </c>
      <c r="N39" s="62" t="e">
        <f>VLOOKUP(A39,saisie!B$5:W$44,14,0)</f>
        <v>#N/A</v>
      </c>
      <c r="O39" s="107" t="e">
        <f>VLOOKUP(A39,saisie!B$5:W$44,15,0)</f>
        <v>#N/A</v>
      </c>
      <c r="P39" s="107" t="e">
        <f>VLOOKUP(A39,saisie!B$5:W$44,16,0)</f>
        <v>#N/A</v>
      </c>
      <c r="Q39" s="117" t="e">
        <f t="shared" si="2"/>
        <v>#N/A</v>
      </c>
      <c r="R39" s="65" t="e">
        <f>VLOOKUP(A39,saisie!B$5:W$44,18,0)</f>
        <v>#N/A</v>
      </c>
      <c r="S39" s="118" t="e">
        <f t="shared" si="3"/>
        <v>#N/A</v>
      </c>
      <c r="T39" s="66" t="e">
        <f>VLOOKUP(A39,saisie!B$5:W$44,20,0)</f>
        <v>#N/A</v>
      </c>
    </row>
    <row r="40" spans="1:20" ht="47.1" customHeight="1">
      <c r="A40" s="63" t="str">
        <f>IF(INFO!B8&gt;35,36,"")</f>
        <v/>
      </c>
      <c r="B40" s="108" t="e">
        <f>VLOOKUP(A40,saisie!B$5:W$44,2,0)</f>
        <v>#N/A</v>
      </c>
      <c r="C40" s="64" t="e">
        <f>VLOOKUP(A40,saisie!B$5:W$44,3,0)</f>
        <v>#N/A</v>
      </c>
      <c r="D40" s="62" t="e">
        <f>VLOOKUP(A40,saisie!B$5:W$44,4,0)</f>
        <v>#N/A</v>
      </c>
      <c r="E40" s="107" t="e">
        <f>VLOOKUP(A40,saisie!B$5:W$44,5,0)</f>
        <v>#N/A</v>
      </c>
      <c r="F40" s="107" t="e">
        <f>VLOOKUP(A40,saisie!B$5:W$44,6,0)</f>
        <v>#N/A</v>
      </c>
      <c r="G40" s="117" t="e">
        <f t="shared" si="0"/>
        <v>#N/A</v>
      </c>
      <c r="H40" s="65" t="e">
        <f>VLOOKUP(A40,saisie!B$5:W$44,8,0)</f>
        <v>#N/A</v>
      </c>
      <c r="I40" s="62" t="e">
        <f>VLOOKUP(A40,saisie!B$5:W$44,9,0)</f>
        <v>#N/A</v>
      </c>
      <c r="J40" s="107" t="e">
        <f>VLOOKUP(A40,saisie!B$5:W$44,10,0)</f>
        <v>#N/A</v>
      </c>
      <c r="K40" s="107" t="e">
        <f>VLOOKUP(A40,saisie!B$5:W$44,11,0)</f>
        <v>#N/A</v>
      </c>
      <c r="L40" s="117" t="e">
        <f t="shared" si="1"/>
        <v>#N/A</v>
      </c>
      <c r="M40" s="65" t="e">
        <f>VLOOKUP(A40,saisie!B$5:W$44,13,0)</f>
        <v>#N/A</v>
      </c>
      <c r="N40" s="62" t="e">
        <f>VLOOKUP(A40,saisie!B$5:W$44,14,0)</f>
        <v>#N/A</v>
      </c>
      <c r="O40" s="107" t="e">
        <f>VLOOKUP(A40,saisie!B$5:W$44,15,0)</f>
        <v>#N/A</v>
      </c>
      <c r="P40" s="107" t="e">
        <f>VLOOKUP(A40,saisie!B$5:W$44,16,0)</f>
        <v>#N/A</v>
      </c>
      <c r="Q40" s="117" t="e">
        <f t="shared" si="2"/>
        <v>#N/A</v>
      </c>
      <c r="R40" s="65" t="e">
        <f>VLOOKUP(A40,saisie!B$5:W$44,18,0)</f>
        <v>#N/A</v>
      </c>
      <c r="S40" s="118" t="e">
        <f t="shared" si="3"/>
        <v>#N/A</v>
      </c>
      <c r="T40" s="66" t="e">
        <f>VLOOKUP(A40,saisie!B$5:W$44,20,0)</f>
        <v>#N/A</v>
      </c>
    </row>
    <row r="41" spans="1:20" ht="47.1" customHeight="1">
      <c r="A41" s="63" t="str">
        <f>IF(INFO!B8&gt;36,37,"")</f>
        <v/>
      </c>
      <c r="B41" s="108" t="e">
        <f>VLOOKUP(A41,saisie!B$5:W$44,2,0)</f>
        <v>#N/A</v>
      </c>
      <c r="C41" s="64" t="e">
        <f>VLOOKUP(A41,saisie!B$5:W$44,3,0)</f>
        <v>#N/A</v>
      </c>
      <c r="D41" s="62" t="e">
        <f>VLOOKUP(A41,saisie!B$5:W$44,4,0)</f>
        <v>#N/A</v>
      </c>
      <c r="E41" s="107" t="e">
        <f>VLOOKUP(A41,saisie!B$5:W$44,5,0)</f>
        <v>#N/A</v>
      </c>
      <c r="F41" s="107" t="e">
        <f>VLOOKUP(A41,saisie!B$5:W$44,6,0)</f>
        <v>#N/A</v>
      </c>
      <c r="G41" s="117" t="e">
        <f t="shared" si="0"/>
        <v>#N/A</v>
      </c>
      <c r="H41" s="65" t="e">
        <f>VLOOKUP(A41,saisie!B$5:W$44,8,0)</f>
        <v>#N/A</v>
      </c>
      <c r="I41" s="62" t="e">
        <f>VLOOKUP(A41,saisie!B$5:W$44,9,0)</f>
        <v>#N/A</v>
      </c>
      <c r="J41" s="107" t="e">
        <f>VLOOKUP(A41,saisie!B$5:W$44,10,0)</f>
        <v>#N/A</v>
      </c>
      <c r="K41" s="107" t="e">
        <f>VLOOKUP(A41,saisie!B$5:W$44,11,0)</f>
        <v>#N/A</v>
      </c>
      <c r="L41" s="117" t="e">
        <f t="shared" si="1"/>
        <v>#N/A</v>
      </c>
      <c r="M41" s="65" t="e">
        <f>VLOOKUP(A41,saisie!B$5:W$44,13,0)</f>
        <v>#N/A</v>
      </c>
      <c r="N41" s="62" t="e">
        <f>VLOOKUP(A41,saisie!B$5:W$44,14,0)</f>
        <v>#N/A</v>
      </c>
      <c r="O41" s="107" t="e">
        <f>VLOOKUP(A41,saisie!B$5:W$44,15,0)</f>
        <v>#N/A</v>
      </c>
      <c r="P41" s="107" t="e">
        <f>VLOOKUP(A41,saisie!B$5:W$44,16,0)</f>
        <v>#N/A</v>
      </c>
      <c r="Q41" s="117" t="e">
        <f t="shared" si="2"/>
        <v>#N/A</v>
      </c>
      <c r="R41" s="65" t="e">
        <f>VLOOKUP(A41,saisie!B$5:W$44,18,0)</f>
        <v>#N/A</v>
      </c>
      <c r="S41" s="118" t="e">
        <f t="shared" si="3"/>
        <v>#N/A</v>
      </c>
      <c r="T41" s="66" t="e">
        <f>VLOOKUP(A41,saisie!B$5:W$44,20,0)</f>
        <v>#N/A</v>
      </c>
    </row>
    <row r="42" spans="1:20" ht="47.1" customHeight="1">
      <c r="A42" s="63" t="str">
        <f>IF(INFO!B8&gt;37,38,"")</f>
        <v/>
      </c>
      <c r="B42" s="108" t="e">
        <f>VLOOKUP(A42,saisie!B$5:W$44,2,0)</f>
        <v>#N/A</v>
      </c>
      <c r="C42" s="64" t="e">
        <f>VLOOKUP(A42,saisie!B$5:W$44,3,0)</f>
        <v>#N/A</v>
      </c>
      <c r="D42" s="62" t="e">
        <f>VLOOKUP(A42,saisie!B$5:W$44,4,0)</f>
        <v>#N/A</v>
      </c>
      <c r="E42" s="107" t="e">
        <f>VLOOKUP(A42,saisie!B$5:W$44,5,0)</f>
        <v>#N/A</v>
      </c>
      <c r="F42" s="107" t="e">
        <f>VLOOKUP(A42,saisie!B$5:W$44,6,0)</f>
        <v>#N/A</v>
      </c>
      <c r="G42" s="117" t="e">
        <f t="shared" si="0"/>
        <v>#N/A</v>
      </c>
      <c r="H42" s="65" t="e">
        <f>VLOOKUP(A42,saisie!B$5:W$44,8,0)</f>
        <v>#N/A</v>
      </c>
      <c r="I42" s="62" t="e">
        <f>VLOOKUP(A42,saisie!B$5:W$44,9,0)</f>
        <v>#N/A</v>
      </c>
      <c r="J42" s="107" t="e">
        <f>VLOOKUP(A42,saisie!B$5:W$44,10,0)</f>
        <v>#N/A</v>
      </c>
      <c r="K42" s="107" t="e">
        <f>VLOOKUP(A42,saisie!B$5:W$44,11,0)</f>
        <v>#N/A</v>
      </c>
      <c r="L42" s="117" t="e">
        <f t="shared" si="1"/>
        <v>#N/A</v>
      </c>
      <c r="M42" s="65" t="e">
        <f>VLOOKUP(A42,saisie!B$5:W$44,13,0)</f>
        <v>#N/A</v>
      </c>
      <c r="N42" s="62" t="e">
        <f>VLOOKUP(A42,saisie!B$5:W$44,14,0)</f>
        <v>#N/A</v>
      </c>
      <c r="O42" s="107" t="e">
        <f>VLOOKUP(A42,saisie!B$5:W$44,15,0)</f>
        <v>#N/A</v>
      </c>
      <c r="P42" s="107" t="e">
        <f>VLOOKUP(A42,saisie!B$5:W$44,16,0)</f>
        <v>#N/A</v>
      </c>
      <c r="Q42" s="117" t="e">
        <f t="shared" si="2"/>
        <v>#N/A</v>
      </c>
      <c r="R42" s="65" t="e">
        <f>VLOOKUP(A42,saisie!B$5:W$44,18,0)</f>
        <v>#N/A</v>
      </c>
      <c r="S42" s="118" t="e">
        <f t="shared" si="3"/>
        <v>#N/A</v>
      </c>
      <c r="T42" s="66" t="e">
        <f>VLOOKUP(A42,saisie!B$5:W$44,20,0)</f>
        <v>#N/A</v>
      </c>
    </row>
    <row r="43" spans="1:20" ht="47.1" customHeight="1">
      <c r="A43" s="63" t="str">
        <f>IF(INFO!B8&gt;38,39,"")</f>
        <v/>
      </c>
      <c r="B43" s="108" t="e">
        <f>VLOOKUP(A43,saisie!B$5:W$44,2,0)</f>
        <v>#N/A</v>
      </c>
      <c r="C43" s="64" t="e">
        <f>VLOOKUP(A43,saisie!B$5:W$44,3,0)</f>
        <v>#N/A</v>
      </c>
      <c r="D43" s="62" t="e">
        <f>VLOOKUP(A43,saisie!B$5:W$44,4,0)</f>
        <v>#N/A</v>
      </c>
      <c r="E43" s="107" t="e">
        <f>VLOOKUP(A43,saisie!B$5:W$44,5,0)</f>
        <v>#N/A</v>
      </c>
      <c r="F43" s="107" t="e">
        <f>VLOOKUP(A43,saisie!B$5:W$44,6,0)</f>
        <v>#N/A</v>
      </c>
      <c r="G43" s="117" t="e">
        <f t="shared" si="0"/>
        <v>#N/A</v>
      </c>
      <c r="H43" s="65" t="e">
        <f>VLOOKUP(A43,saisie!B$5:W$44,8,0)</f>
        <v>#N/A</v>
      </c>
      <c r="I43" s="62" t="e">
        <f>VLOOKUP(A43,saisie!B$5:W$44,9,0)</f>
        <v>#N/A</v>
      </c>
      <c r="J43" s="107" t="e">
        <f>VLOOKUP(A43,saisie!B$5:W$44,10,0)</f>
        <v>#N/A</v>
      </c>
      <c r="K43" s="107" t="e">
        <f>VLOOKUP(A43,saisie!B$5:W$44,11,0)</f>
        <v>#N/A</v>
      </c>
      <c r="L43" s="117" t="e">
        <f t="shared" si="1"/>
        <v>#N/A</v>
      </c>
      <c r="M43" s="65" t="e">
        <f>VLOOKUP(A43,saisie!B$5:W$44,13,0)</f>
        <v>#N/A</v>
      </c>
      <c r="N43" s="62" t="e">
        <f>VLOOKUP(A43,saisie!B$5:W$44,14,0)</f>
        <v>#N/A</v>
      </c>
      <c r="O43" s="107" t="e">
        <f>VLOOKUP(A43,saisie!B$5:W$44,15,0)</f>
        <v>#N/A</v>
      </c>
      <c r="P43" s="107" t="e">
        <f>VLOOKUP(A43,saisie!B$5:W$44,16,0)</f>
        <v>#N/A</v>
      </c>
      <c r="Q43" s="117" t="e">
        <f t="shared" si="2"/>
        <v>#N/A</v>
      </c>
      <c r="R43" s="65" t="e">
        <f>VLOOKUP(A43,saisie!B$5:W$44,18,0)</f>
        <v>#N/A</v>
      </c>
      <c r="S43" s="118" t="e">
        <f t="shared" si="3"/>
        <v>#N/A</v>
      </c>
      <c r="T43" s="66" t="e">
        <f>VLOOKUP(A43,saisie!B$5:W$44,20,0)</f>
        <v>#N/A</v>
      </c>
    </row>
    <row r="44" spans="1:20" ht="47.1" customHeight="1">
      <c r="A44" s="63" t="str">
        <f>IF(INFO!B8&gt;39,40,"")</f>
        <v/>
      </c>
      <c r="B44" s="108" t="e">
        <f>VLOOKUP(A44,saisie!B$5:W$44,2,0)</f>
        <v>#N/A</v>
      </c>
      <c r="C44" s="64" t="e">
        <f>VLOOKUP(A44,saisie!B$5:W$44,3,0)</f>
        <v>#N/A</v>
      </c>
      <c r="D44" s="62" t="e">
        <f>VLOOKUP(A44,saisie!B$5:W$44,4,0)</f>
        <v>#N/A</v>
      </c>
      <c r="E44" s="107" t="e">
        <f>VLOOKUP(A44,saisie!B$5:W$44,5,0)</f>
        <v>#N/A</v>
      </c>
      <c r="F44" s="107" t="e">
        <f>VLOOKUP(A44,saisie!B$5:W$44,6,0)</f>
        <v>#N/A</v>
      </c>
      <c r="G44" s="117" t="e">
        <f t="shared" si="0"/>
        <v>#N/A</v>
      </c>
      <c r="H44" s="65" t="e">
        <f>VLOOKUP(A44,saisie!B$5:W$44,8,0)</f>
        <v>#N/A</v>
      </c>
      <c r="I44" s="62" t="e">
        <f>VLOOKUP(A44,saisie!B$5:W$44,9,0)</f>
        <v>#N/A</v>
      </c>
      <c r="J44" s="107" t="e">
        <f>VLOOKUP(A44,saisie!B$5:W$44,10,0)</f>
        <v>#N/A</v>
      </c>
      <c r="K44" s="107" t="e">
        <f>VLOOKUP(A44,saisie!B$5:W$44,11,0)</f>
        <v>#N/A</v>
      </c>
      <c r="L44" s="117" t="e">
        <f t="shared" si="1"/>
        <v>#N/A</v>
      </c>
      <c r="M44" s="65" t="e">
        <f>VLOOKUP(A44,saisie!B$5:W$44,13,0)</f>
        <v>#N/A</v>
      </c>
      <c r="N44" s="62" t="e">
        <f>VLOOKUP(A44,saisie!B$5:W$44,14,0)</f>
        <v>#N/A</v>
      </c>
      <c r="O44" s="107" t="e">
        <f>VLOOKUP(A44,saisie!B$5:W$44,15,0)</f>
        <v>#N/A</v>
      </c>
      <c r="P44" s="107" t="e">
        <f>VLOOKUP(A44,saisie!B$5:W$44,16,0)</f>
        <v>#N/A</v>
      </c>
      <c r="Q44" s="117" t="e">
        <f t="shared" si="2"/>
        <v>#N/A</v>
      </c>
      <c r="R44" s="65" t="e">
        <f>VLOOKUP(A44,saisie!B$5:W$44,18,0)</f>
        <v>#N/A</v>
      </c>
      <c r="S44" s="118" t="e">
        <f t="shared" si="3"/>
        <v>#N/A</v>
      </c>
      <c r="T44" s="66" t="e">
        <f>VLOOKUP(A44,saisie!B$5:W$44,20,0)</f>
        <v>#N/A</v>
      </c>
    </row>
  </sheetData>
  <sheetProtection password="CF6D" sheet="1" scenarios="1" formatColumns="0" selectLockedCells="1"/>
  <mergeCells count="15">
    <mergeCell ref="A2:T2"/>
    <mergeCell ref="E3:F3"/>
    <mergeCell ref="J3:K3"/>
    <mergeCell ref="O3:P3"/>
    <mergeCell ref="A3:A4"/>
    <mergeCell ref="G3:G4"/>
    <mergeCell ref="T3:T4"/>
    <mergeCell ref="B3:B4"/>
    <mergeCell ref="L3:L4"/>
    <mergeCell ref="Q3:Q4"/>
    <mergeCell ref="S3:S4"/>
    <mergeCell ref="C3:C4"/>
    <mergeCell ref="H3:H4"/>
    <mergeCell ref="M3:M4"/>
    <mergeCell ref="R3:R4"/>
  </mergeCells>
  <phoneticPr fontId="2"/>
  <conditionalFormatting sqref="A5:T44">
    <cfRule type="cellIs" dxfId="38" priority="2" operator="equal">
      <formula>0</formula>
    </cfRule>
    <cfRule type="containsErrors" dxfId="37" priority="3">
      <formula>ISERROR(A5)</formula>
    </cfRule>
    <cfRule type="containsBlanks" dxfId="36" priority="6">
      <formula>LEN(TRIM(A5))=0</formula>
    </cfRule>
  </conditionalFormatting>
  <printOptions horizontalCentered="1" verticalCentered="1"/>
  <pageMargins left="0" right="0" top="0" bottom="0" header="0.19685039370078741" footer="0.19685039370078741"/>
  <pageSetup paperSize="9" scale="26" orientation="landscape" horizontalDpi="4294967294" verticalDpi="4294967294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>
    <pageSetUpPr fitToPage="1"/>
  </sheetPr>
  <dimension ref="A1:V27"/>
  <sheetViews>
    <sheetView showGridLines="0" zoomScale="75" zoomScaleNormal="75" zoomScaleSheetLayoutView="100" zoomScalePageLayoutView="75" workbookViewId="0">
      <pane ySplit="2" topLeftCell="A3" activePane="bottomLeft" state="frozenSplit"/>
      <selection sqref="A1:C1"/>
      <selection pane="bottomLeft" activeCell="N39" sqref="N39"/>
    </sheetView>
  </sheetViews>
  <sheetFormatPr baseColWidth="10" defaultColWidth="6.875" defaultRowHeight="15"/>
  <cols>
    <col min="1" max="1" width="6.875" style="1" customWidth="1"/>
    <col min="2" max="2" width="20.625" style="1" customWidth="1"/>
    <col min="3" max="5" width="9.375" style="1" customWidth="1"/>
    <col min="6" max="6" width="6.625" style="1" customWidth="1"/>
    <col min="7" max="7" width="20.625" style="1" customWidth="1"/>
    <col min="8" max="10" width="9.375" style="1" customWidth="1"/>
    <col min="11" max="11" width="6.625" style="1" customWidth="1"/>
    <col min="12" max="12" width="20.625" style="1" customWidth="1"/>
    <col min="13" max="15" width="9.375" style="1" customWidth="1"/>
    <col min="16" max="16" width="6.625" style="1" customWidth="1"/>
    <col min="17" max="17" width="20.625" style="1" customWidth="1"/>
    <col min="18" max="20" width="9.375" style="1" customWidth="1"/>
    <col min="21" max="16384" width="6.875" style="1"/>
  </cols>
  <sheetData>
    <row r="1" spans="1:22" ht="39.950000000000003" customHeight="1">
      <c r="A1" s="14"/>
      <c r="B1" s="175" t="str">
        <f>CONCATENATE(INFO!B7,"    ",INFO!B9)</f>
        <v>CARABINE    MIDI-PYRENEES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4"/>
      <c r="V1" s="14"/>
    </row>
    <row r="2" spans="1:22" ht="60" customHeight="1">
      <c r="A2" s="14"/>
      <c r="B2" s="176" t="s">
        <v>17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4"/>
      <c r="V2" s="14"/>
    </row>
    <row r="3" spans="1:22" ht="5.0999999999999996" customHeight="1" thickBot="1">
      <c r="A3" s="14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14"/>
      <c r="V3" s="14"/>
    </row>
    <row r="4" spans="1:22" s="26" customFormat="1" ht="24.95" customHeight="1" thickBot="1">
      <c r="A4" s="25"/>
      <c r="B4" s="119" t="s">
        <v>1</v>
      </c>
      <c r="C4" s="177" t="str">
        <f>'M Q'!B5</f>
        <v>38 TSM</v>
      </c>
      <c r="D4" s="178"/>
      <c r="E4" s="120">
        <f>'M Q'!S5</f>
        <v>486</v>
      </c>
      <c r="F4" s="27"/>
      <c r="G4" s="119" t="str">
        <f>IF(INFO!B8&gt;7,"8e MQ","")</f>
        <v/>
      </c>
      <c r="H4" s="177" t="str">
        <f>IF(INFO!B8&gt;7,'M Q'!B12,"")</f>
        <v/>
      </c>
      <c r="I4" s="178"/>
      <c r="J4" s="120" t="str">
        <f>IF(INFO!B8&gt;7,'M Q'!S12,"")</f>
        <v/>
      </c>
      <c r="K4" s="27"/>
      <c r="L4" s="119" t="s">
        <v>59</v>
      </c>
      <c r="M4" s="177" t="str">
        <f>IF(INFO!B8&gt;8,'M Q'!B13,"")</f>
        <v/>
      </c>
      <c r="N4" s="178"/>
      <c r="O4" s="120" t="str">
        <f>IF(INFO!B8&gt;8,'M Q'!S13,"")</f>
        <v/>
      </c>
      <c r="P4" s="25"/>
      <c r="Q4" s="119" t="s">
        <v>52</v>
      </c>
      <c r="R4" s="177" t="str">
        <f>IF(INFO!B8&gt;15,'M Q'!B20,"")</f>
        <v/>
      </c>
      <c r="S4" s="178"/>
      <c r="T4" s="120" t="str">
        <f>IF(INFO!B8&gt;15,'M Q'!S20,"")</f>
        <v/>
      </c>
      <c r="U4" s="25"/>
    </row>
    <row r="5" spans="1:22" s="26" customFormat="1" ht="24.95" customHeight="1" thickBot="1">
      <c r="A5" s="24"/>
      <c r="B5" s="119" t="s">
        <v>32</v>
      </c>
      <c r="C5" s="121" t="s">
        <v>33</v>
      </c>
      <c r="D5" s="122" t="s">
        <v>34</v>
      </c>
      <c r="E5" s="119" t="s">
        <v>23</v>
      </c>
      <c r="F5" s="123"/>
      <c r="G5" s="119" t="s">
        <v>32</v>
      </c>
      <c r="H5" s="121" t="s">
        <v>33</v>
      </c>
      <c r="I5" s="122" t="s">
        <v>34</v>
      </c>
      <c r="J5" s="119" t="s">
        <v>23</v>
      </c>
      <c r="K5" s="123"/>
      <c r="L5" s="119" t="s">
        <v>32</v>
      </c>
      <c r="M5" s="121" t="s">
        <v>33</v>
      </c>
      <c r="N5" s="122" t="s">
        <v>34</v>
      </c>
      <c r="O5" s="119" t="s">
        <v>23</v>
      </c>
      <c r="P5" s="25"/>
      <c r="Q5" s="119" t="s">
        <v>32</v>
      </c>
      <c r="R5" s="121" t="s">
        <v>33</v>
      </c>
      <c r="S5" s="122" t="s">
        <v>34</v>
      </c>
      <c r="T5" s="119" t="s">
        <v>23</v>
      </c>
      <c r="U5" s="25"/>
    </row>
    <row r="6" spans="1:22" s="26" customFormat="1" ht="24.95" customHeight="1">
      <c r="A6" s="24"/>
      <c r="B6" s="124" t="str">
        <f>'M Q'!D5</f>
        <v>ESTOR Valentin</v>
      </c>
      <c r="C6" s="125">
        <f>'M Q'!E5</f>
        <v>92.2</v>
      </c>
      <c r="D6" s="126">
        <f>'M Q'!F5</f>
        <v>80.900000000000006</v>
      </c>
      <c r="E6" s="124">
        <f>SUM(C6:D6)</f>
        <v>173.10000000000002</v>
      </c>
      <c r="F6" s="27"/>
      <c r="G6" s="124" t="str">
        <f>IF(INFO!B8&gt;7,'M Q'!D12,"")</f>
        <v/>
      </c>
      <c r="H6" s="125" t="str">
        <f>IF(INFO!B8&gt;7,'M Q'!E12,"")</f>
        <v/>
      </c>
      <c r="I6" s="126" t="str">
        <f>IF(INFO!B8&gt;7,'M Q'!F12,"")</f>
        <v/>
      </c>
      <c r="J6" s="124" t="str">
        <f>IF(INFO!B8&gt;7,SUM(H6:I6),"")</f>
        <v/>
      </c>
      <c r="K6" s="27"/>
      <c r="L6" s="124" t="str">
        <f>IF(INFO!B8&gt;8,'M Q'!D13,"")</f>
        <v/>
      </c>
      <c r="M6" s="125" t="str">
        <f>IF(INFO!B8&gt;8,'M Q'!E13,"")</f>
        <v/>
      </c>
      <c r="N6" s="126" t="str">
        <f>IF(INFO!B8&gt;8,'M Q'!F13,"")</f>
        <v/>
      </c>
      <c r="O6" s="124" t="str">
        <f>IF(INFO!B8&gt;8,SUM(M6:N6),"")</f>
        <v/>
      </c>
      <c r="P6" s="25"/>
      <c r="Q6" s="124" t="str">
        <f>IF(INFO!B8&gt;15,'M Q'!D20,"")</f>
        <v/>
      </c>
      <c r="R6" s="125" t="str">
        <f>IF(INFO!B8&gt;15,'M Q'!E20,"")</f>
        <v/>
      </c>
      <c r="S6" s="126" t="str">
        <f>IF(INFO!B8&gt;15,'M Q'!F20,"")</f>
        <v/>
      </c>
      <c r="T6" s="124" t="str">
        <f>IF(INFO!B8&gt;15,SUM(R6:S6),"")</f>
        <v/>
      </c>
      <c r="U6" s="25"/>
    </row>
    <row r="7" spans="1:22" s="26" customFormat="1" ht="24.95" customHeight="1">
      <c r="A7" s="24"/>
      <c r="B7" s="127" t="str">
        <f>'M Q'!I5</f>
        <v>SAFFON Nathanael</v>
      </c>
      <c r="C7" s="128">
        <f>'M Q'!J5</f>
        <v>80.5</v>
      </c>
      <c r="D7" s="129">
        <f>'M Q'!K5</f>
        <v>74.7</v>
      </c>
      <c r="E7" s="127">
        <f>SUM(C7:D7)</f>
        <v>155.19999999999999</v>
      </c>
      <c r="F7" s="27"/>
      <c r="G7" s="127" t="str">
        <f>IF(INFO!B8&gt;7,'M Q'!I12,"")</f>
        <v/>
      </c>
      <c r="H7" s="128" t="str">
        <f>IF(INFO!B8&gt;7,'M Q'!J12,"")</f>
        <v/>
      </c>
      <c r="I7" s="129" t="str">
        <f>IF(INFO!B8&gt;7,'M Q'!K12,"")</f>
        <v/>
      </c>
      <c r="J7" s="127" t="str">
        <f>IF(INFO!B8&gt;7,SUM(H7:I7),"")</f>
        <v/>
      </c>
      <c r="K7" s="27"/>
      <c r="L7" s="127" t="str">
        <f>IF(INFO!B8&gt;8,'M Q'!I13,"")</f>
        <v/>
      </c>
      <c r="M7" s="128" t="str">
        <f>IF(INFO!B8&gt;8,'M Q'!J13,"")</f>
        <v/>
      </c>
      <c r="N7" s="129" t="str">
        <f>IF(INFO!B8&gt;8,'M Q'!K13,"")</f>
        <v/>
      </c>
      <c r="O7" s="127" t="str">
        <f>IF(INFO!B8&gt;8,SUM(M7:N7),"")</f>
        <v/>
      </c>
      <c r="P7" s="25"/>
      <c r="Q7" s="127" t="str">
        <f>IF(INFO!B8&gt;15,'M Q'!I20,"")</f>
        <v/>
      </c>
      <c r="R7" s="128" t="str">
        <f>IF(INFO!B8&gt;15,'M Q'!J20,"")</f>
        <v/>
      </c>
      <c r="S7" s="129" t="str">
        <f>IF(INFO!B8&gt;15,'M Q'!K20,"")</f>
        <v/>
      </c>
      <c r="T7" s="127" t="str">
        <f>IF(INFO!B8&gt;15,SUM(R7:S7),"")</f>
        <v/>
      </c>
      <c r="U7" s="25"/>
    </row>
    <row r="8" spans="1:22" s="26" customFormat="1" ht="24.95" customHeight="1" thickBot="1">
      <c r="A8" s="24"/>
      <c r="B8" s="130" t="str">
        <f>'M Q'!N5</f>
        <v>SAVOUREY Victoria</v>
      </c>
      <c r="C8" s="131">
        <f>'M Q'!O5</f>
        <v>75.900000000000006</v>
      </c>
      <c r="D8" s="132">
        <f>'M Q'!P5</f>
        <v>81.8</v>
      </c>
      <c r="E8" s="130">
        <f>SUM(C8:D8)</f>
        <v>157.69999999999999</v>
      </c>
      <c r="F8" s="27"/>
      <c r="G8" s="130" t="str">
        <f>IF(INFO!B8&gt;7,'M Q'!N12,"")</f>
        <v/>
      </c>
      <c r="H8" s="131" t="str">
        <f>IF(INFO!B8&gt;7,'M Q'!O12,"")</f>
        <v/>
      </c>
      <c r="I8" s="132" t="str">
        <f>IF(INFO!B8&gt;7,'M Q'!P12,"")</f>
        <v/>
      </c>
      <c r="J8" s="130" t="str">
        <f>IF(INFO!B8&gt;7,SUM(H8:I8),"")</f>
        <v/>
      </c>
      <c r="K8" s="27"/>
      <c r="L8" s="130" t="str">
        <f>IF(INFO!B8&gt;8,'M Q'!N13,"")</f>
        <v/>
      </c>
      <c r="M8" s="131" t="str">
        <f>IF(INFO!B8&gt;8,'M Q'!O13,"")</f>
        <v/>
      </c>
      <c r="N8" s="132" t="str">
        <f>IF(INFO!B8&gt;8,'M Q'!P13,"")</f>
        <v/>
      </c>
      <c r="O8" s="130" t="str">
        <f>IF(INFO!B8&gt;8,SUM(M8:N8),"")</f>
        <v/>
      </c>
      <c r="P8" s="25"/>
      <c r="Q8" s="130" t="str">
        <f>IF(INFO!B8&gt;15,'M Q'!N20,"")</f>
        <v/>
      </c>
      <c r="R8" s="131" t="str">
        <f>IF(INFO!B8&gt;15,'M Q'!O20,"")</f>
        <v/>
      </c>
      <c r="S8" s="132" t="str">
        <f>IF(INFO!B8&gt;15,'M Q'!P20,"")</f>
        <v/>
      </c>
      <c r="T8" s="130" t="str">
        <f>IF(INFO!B8&gt;15,SUM(R8:S8),"")</f>
        <v/>
      </c>
      <c r="U8" s="25"/>
    </row>
    <row r="9" spans="1:22" s="26" customFormat="1" ht="24.95" customHeight="1" thickBot="1">
      <c r="A9" s="25"/>
      <c r="B9" s="27"/>
      <c r="C9" s="25"/>
      <c r="D9" s="25"/>
      <c r="E9" s="27"/>
      <c r="F9" s="27"/>
      <c r="K9" s="27"/>
      <c r="L9" s="27"/>
      <c r="M9" s="25"/>
      <c r="N9" s="25"/>
      <c r="O9" s="27"/>
      <c r="P9" s="25"/>
      <c r="Q9" s="27"/>
      <c r="R9" s="25"/>
      <c r="S9" s="25"/>
      <c r="T9" s="27"/>
      <c r="U9" s="25"/>
    </row>
    <row r="10" spans="1:22" s="26" customFormat="1" ht="24.95" customHeight="1" thickBot="1">
      <c r="A10" s="25"/>
      <c r="B10" s="119" t="s">
        <v>2</v>
      </c>
      <c r="C10" s="177" t="str">
        <f>'M Q'!B6</f>
        <v>CT ST-GAUDINOIS</v>
      </c>
      <c r="D10" s="178"/>
      <c r="E10" s="120">
        <f>'M Q'!S6</f>
        <v>436.09999999999997</v>
      </c>
      <c r="F10" s="27"/>
      <c r="G10" s="119" t="str">
        <f>IF(INFO!B8&gt;6,"7e MQ","")</f>
        <v/>
      </c>
      <c r="H10" s="177" t="str">
        <f>IF(INFO!B8&gt;6,'M Q'!B11,"")</f>
        <v/>
      </c>
      <c r="I10" s="178"/>
      <c r="J10" s="120" t="str">
        <f>IF(INFO!B8&gt;6,'M Q'!S11,"")</f>
        <v/>
      </c>
      <c r="K10" s="27"/>
      <c r="L10" s="119" t="s">
        <v>58</v>
      </c>
      <c r="M10" s="177" t="str">
        <f>IF(INFO!B8&gt;9,'M Q'!B14,"")</f>
        <v/>
      </c>
      <c r="N10" s="178"/>
      <c r="O10" s="120" t="str">
        <f>IF(INFO!B8&gt;9,'M Q'!S14,"")</f>
        <v/>
      </c>
      <c r="P10" s="25"/>
      <c r="Q10" s="119" t="s">
        <v>53</v>
      </c>
      <c r="R10" s="177" t="str">
        <f>IF(INFO!B8&gt;14,'M Q'!B19,"")</f>
        <v/>
      </c>
      <c r="S10" s="178"/>
      <c r="T10" s="120" t="str">
        <f>IF(INFO!B8&gt;14,'M Q'!S19,"")</f>
        <v/>
      </c>
      <c r="U10" s="25"/>
    </row>
    <row r="11" spans="1:22" s="26" customFormat="1" ht="24.95" customHeight="1" thickBot="1">
      <c r="A11" s="24"/>
      <c r="B11" s="119" t="s">
        <v>32</v>
      </c>
      <c r="C11" s="121" t="s">
        <v>33</v>
      </c>
      <c r="D11" s="122" t="s">
        <v>34</v>
      </c>
      <c r="E11" s="119" t="s">
        <v>23</v>
      </c>
      <c r="F11" s="123"/>
      <c r="G11" s="119" t="s">
        <v>32</v>
      </c>
      <c r="H11" s="121" t="s">
        <v>33</v>
      </c>
      <c r="I11" s="122" t="s">
        <v>34</v>
      </c>
      <c r="J11" s="119" t="s">
        <v>23</v>
      </c>
      <c r="K11" s="123"/>
      <c r="L11" s="119" t="s">
        <v>32</v>
      </c>
      <c r="M11" s="121" t="s">
        <v>33</v>
      </c>
      <c r="N11" s="122" t="s">
        <v>34</v>
      </c>
      <c r="O11" s="119" t="s">
        <v>23</v>
      </c>
      <c r="P11" s="25"/>
      <c r="Q11" s="119" t="s">
        <v>32</v>
      </c>
      <c r="R11" s="121" t="s">
        <v>33</v>
      </c>
      <c r="S11" s="122" t="s">
        <v>34</v>
      </c>
      <c r="T11" s="119" t="s">
        <v>23</v>
      </c>
      <c r="U11" s="25"/>
    </row>
    <row r="12" spans="1:22" s="26" customFormat="1" ht="24.95" customHeight="1">
      <c r="A12" s="24"/>
      <c r="B12" s="124" t="str">
        <f>'M Q'!D6</f>
        <v>MORANDINI Evan</v>
      </c>
      <c r="C12" s="125">
        <f>'M Q'!E6</f>
        <v>64.900000000000006</v>
      </c>
      <c r="D12" s="126">
        <f>'M Q'!F6</f>
        <v>73.400000000000006</v>
      </c>
      <c r="E12" s="124">
        <f>SUM(C12:D12)</f>
        <v>138.30000000000001</v>
      </c>
      <c r="F12" s="27"/>
      <c r="G12" s="124" t="str">
        <f>IF(INFO!B8&gt;6,'M Q'!D11,"")</f>
        <v/>
      </c>
      <c r="H12" s="125" t="str">
        <f>IF(INFO!B8&gt;6,'M Q'!E11,"")</f>
        <v/>
      </c>
      <c r="I12" s="126" t="str">
        <f>IF(INFO!B8&gt;6,'M Q'!F11,"")</f>
        <v/>
      </c>
      <c r="J12" s="124" t="str">
        <f>IF(INFO!B8&gt;6,SUM(H12:I12),"")</f>
        <v/>
      </c>
      <c r="K12" s="27"/>
      <c r="L12" s="124" t="str">
        <f>IF(INFO!B8&gt;9,'M Q'!D14,"")</f>
        <v/>
      </c>
      <c r="M12" s="125" t="str">
        <f>IF(INFO!B8&gt;9,'M Q'!E14,"")</f>
        <v/>
      </c>
      <c r="N12" s="126" t="str">
        <f>IF(INFO!B8&gt;9,'M Q'!F14,"")</f>
        <v/>
      </c>
      <c r="O12" s="124" t="str">
        <f>IF(INFO!B8&gt;9,SUM(M12:N12),"")</f>
        <v/>
      </c>
      <c r="P12" s="25"/>
      <c r="Q12" s="124" t="str">
        <f>IF(INFO!B8&gt;14,'M Q'!D19,"")</f>
        <v/>
      </c>
      <c r="R12" s="125" t="str">
        <f>IF(INFO!B8&gt;14,'M Q'!E19,"")</f>
        <v/>
      </c>
      <c r="S12" s="126" t="str">
        <f>IF(INFO!B8&gt;14,'M Q'!F19,"")</f>
        <v/>
      </c>
      <c r="T12" s="124" t="str">
        <f>IF(INFO!B8&gt;14,SUM(R12:S12),"")</f>
        <v/>
      </c>
      <c r="U12" s="25"/>
    </row>
    <row r="13" spans="1:22" s="26" customFormat="1" ht="24.95" customHeight="1">
      <c r="A13" s="24"/>
      <c r="B13" s="127" t="str">
        <f>'M Q'!I6</f>
        <v>RAOUL Jules</v>
      </c>
      <c r="C13" s="128">
        <f>'M Q'!J6</f>
        <v>54.6</v>
      </c>
      <c r="D13" s="129">
        <f>'M Q'!K6</f>
        <v>76.5</v>
      </c>
      <c r="E13" s="127">
        <f>SUM(C13:D13)</f>
        <v>131.1</v>
      </c>
      <c r="F13" s="27"/>
      <c r="G13" s="127" t="str">
        <f>IF(INFO!B8&gt;6,'M Q'!I11,"")</f>
        <v/>
      </c>
      <c r="H13" s="128" t="str">
        <f>IF(INFO!B8&gt;6,'M Q'!J11,"")</f>
        <v/>
      </c>
      <c r="I13" s="129" t="str">
        <f>IF(INFO!B8&gt;6,'M Q'!K11,"")</f>
        <v/>
      </c>
      <c r="J13" s="127" t="str">
        <f>IF(INFO!B8&gt;6,SUM(H13:I13),"")</f>
        <v/>
      </c>
      <c r="K13" s="27"/>
      <c r="L13" s="127" t="str">
        <f>IF(INFO!B8&gt;9,'M Q'!I14,"")</f>
        <v/>
      </c>
      <c r="M13" s="128" t="str">
        <f>IF(INFO!B8&gt;9,'M Q'!J14,"")</f>
        <v/>
      </c>
      <c r="N13" s="129" t="str">
        <f>IF(INFO!B8&gt;9,'M Q'!K14,"")</f>
        <v/>
      </c>
      <c r="O13" s="127" t="str">
        <f>IF(INFO!B8&gt;9,SUM(M13:N13),"")</f>
        <v/>
      </c>
      <c r="P13" s="25"/>
      <c r="Q13" s="127" t="str">
        <f>IF(INFO!B8&gt;14,'M Q'!I19,"")</f>
        <v/>
      </c>
      <c r="R13" s="128" t="str">
        <f>IF(INFO!B8&gt;14,'M Q'!J19,"")</f>
        <v/>
      </c>
      <c r="S13" s="129" t="str">
        <f>IF(INFO!B8&gt;14,'M Q'!K19,"")</f>
        <v/>
      </c>
      <c r="T13" s="127" t="str">
        <f>IF(INFO!B8&gt;14,SUM(R13:S13),"")</f>
        <v/>
      </c>
      <c r="U13" s="25"/>
    </row>
    <row r="14" spans="1:22" s="26" customFormat="1" ht="24.95" customHeight="1" thickBot="1">
      <c r="A14" s="24"/>
      <c r="B14" s="130" t="str">
        <f>'M Q'!N6</f>
        <v>EDARD Thibault</v>
      </c>
      <c r="C14" s="131">
        <f>'M Q'!O6</f>
        <v>81.7</v>
      </c>
      <c r="D14" s="132">
        <f>'M Q'!P6</f>
        <v>85</v>
      </c>
      <c r="E14" s="130">
        <f>SUM(C14:D14)</f>
        <v>166.7</v>
      </c>
      <c r="F14" s="27"/>
      <c r="G14" s="130" t="str">
        <f>IF(INFO!B8&gt;6,'M Q'!N11,"")</f>
        <v/>
      </c>
      <c r="H14" s="131" t="str">
        <f>IF(INFO!B8&gt;6,'M Q'!O11,"")</f>
        <v/>
      </c>
      <c r="I14" s="132" t="str">
        <f>IF(INFO!B8&gt;6,'M Q'!P11,"")</f>
        <v/>
      </c>
      <c r="J14" s="130" t="str">
        <f>IF(INFO!B8&gt;6,SUM(H14:I14),"")</f>
        <v/>
      </c>
      <c r="K14" s="27"/>
      <c r="L14" s="130" t="str">
        <f>IF(INFO!B8&gt;9,'M Q'!N14,"")</f>
        <v/>
      </c>
      <c r="M14" s="131" t="str">
        <f>IF(INFO!B8&gt;9,'M Q'!O14,"")</f>
        <v/>
      </c>
      <c r="N14" s="132" t="str">
        <f>IF(INFO!B8&gt;9,'M Q'!P14,"")</f>
        <v/>
      </c>
      <c r="O14" s="130" t="str">
        <f>IF(INFO!B8&gt;9,SUM(M14:N14),"")</f>
        <v/>
      </c>
      <c r="P14" s="25"/>
      <c r="Q14" s="130" t="str">
        <f>IF(INFO!B8&gt;14,'M Q'!N19,"")</f>
        <v/>
      </c>
      <c r="R14" s="131" t="str">
        <f>IF(INFO!B8&gt;14,'M Q'!O19,"")</f>
        <v/>
      </c>
      <c r="S14" s="132" t="str">
        <f>IF(INFO!B8&gt;14,'M Q'!P19,"")</f>
        <v/>
      </c>
      <c r="T14" s="130" t="str">
        <f>IF(INFO!B8&gt;14,SUM(R14:S14),"")</f>
        <v/>
      </c>
      <c r="U14" s="25"/>
    </row>
    <row r="15" spans="1:22" s="26" customFormat="1" ht="24.95" customHeight="1" thickBot="1">
      <c r="A15" s="25"/>
      <c r="B15" s="27"/>
      <c r="C15" s="25"/>
      <c r="D15" s="25"/>
      <c r="E15" s="27"/>
      <c r="F15" s="27"/>
      <c r="K15" s="27"/>
      <c r="L15" s="27"/>
      <c r="M15" s="25"/>
      <c r="N15" s="25"/>
      <c r="O15" s="27"/>
      <c r="P15" s="25"/>
      <c r="Q15" s="27"/>
      <c r="R15" s="25"/>
      <c r="S15" s="25"/>
      <c r="T15" s="27"/>
      <c r="U15" s="25"/>
    </row>
    <row r="16" spans="1:22" s="26" customFormat="1" ht="24.95" customHeight="1" thickBot="1">
      <c r="A16" s="25"/>
      <c r="B16" s="119" t="str">
        <f>IF(INFO!B8&gt;2,"3e MQ","")</f>
        <v>3e MQ</v>
      </c>
      <c r="C16" s="177" t="str">
        <f>IF(INFO!B8&gt;2,'M Q'!B7,"")</f>
        <v>AST MONTALBANAIS</v>
      </c>
      <c r="D16" s="178"/>
      <c r="E16" s="120">
        <f>IF(INFO!B8&gt;2,'M Q'!S7,"")</f>
        <v>424.9</v>
      </c>
      <c r="F16" s="27"/>
      <c r="G16" s="119" t="str">
        <f>IF(INFO!B8&gt;5,"6e MQ","")</f>
        <v/>
      </c>
      <c r="H16" s="177" t="str">
        <f>IF(INFO!B8&gt;5,'M Q'!B10,"")</f>
        <v/>
      </c>
      <c r="I16" s="178"/>
      <c r="J16" s="120" t="str">
        <f>IF(INFO!B8&gt;5,'M Q'!S10,"")</f>
        <v/>
      </c>
      <c r="K16" s="27"/>
      <c r="L16" s="119" t="s">
        <v>57</v>
      </c>
      <c r="M16" s="177" t="str">
        <f>IF(INFO!B8&gt;10,'M Q'!B15,"")</f>
        <v/>
      </c>
      <c r="N16" s="178"/>
      <c r="O16" s="120" t="str">
        <f>IF(INFO!B8&gt;10,'M Q'!S15,"")</f>
        <v/>
      </c>
      <c r="P16" s="25"/>
      <c r="Q16" s="119" t="s">
        <v>54</v>
      </c>
      <c r="R16" s="177" t="str">
        <f>IF(INFO!B8&gt;13,'M Q'!B18,"")</f>
        <v/>
      </c>
      <c r="S16" s="178"/>
      <c r="T16" s="120" t="str">
        <f>IF(INFO!B8&gt;13,'M Q'!S18,"")</f>
        <v/>
      </c>
      <c r="U16" s="25"/>
    </row>
    <row r="17" spans="1:21" s="26" customFormat="1" ht="24.95" customHeight="1" thickBot="1">
      <c r="A17" s="24"/>
      <c r="B17" s="119" t="s">
        <v>32</v>
      </c>
      <c r="C17" s="121" t="s">
        <v>33</v>
      </c>
      <c r="D17" s="122" t="s">
        <v>34</v>
      </c>
      <c r="E17" s="119" t="s">
        <v>23</v>
      </c>
      <c r="F17" s="123"/>
      <c r="G17" s="119" t="s">
        <v>32</v>
      </c>
      <c r="H17" s="121" t="s">
        <v>33</v>
      </c>
      <c r="I17" s="122" t="s">
        <v>34</v>
      </c>
      <c r="J17" s="119" t="s">
        <v>23</v>
      </c>
      <c r="K17" s="123"/>
      <c r="L17" s="119" t="s">
        <v>32</v>
      </c>
      <c r="M17" s="121" t="s">
        <v>33</v>
      </c>
      <c r="N17" s="122" t="s">
        <v>34</v>
      </c>
      <c r="O17" s="119" t="s">
        <v>23</v>
      </c>
      <c r="P17" s="25"/>
      <c r="Q17" s="119" t="s">
        <v>32</v>
      </c>
      <c r="R17" s="121" t="s">
        <v>33</v>
      </c>
      <c r="S17" s="122" t="s">
        <v>34</v>
      </c>
      <c r="T17" s="119" t="s">
        <v>23</v>
      </c>
      <c r="U17" s="25"/>
    </row>
    <row r="18" spans="1:21" s="26" customFormat="1" ht="24.95" customHeight="1">
      <c r="A18" s="24"/>
      <c r="B18" s="124" t="str">
        <f>IF(INFO!B8&gt;2,'M Q'!D7,"")</f>
        <v>BOUDEROUA Yamine</v>
      </c>
      <c r="C18" s="125">
        <f>IF(INFO!B8&gt;2,'M Q'!E7,"")</f>
        <v>69.3</v>
      </c>
      <c r="D18" s="126">
        <f>IF(INFO!B8&gt;2,'M Q'!F7,"")</f>
        <v>72.400000000000006</v>
      </c>
      <c r="E18" s="124">
        <f>IF(INFO!B8&gt;2,SUM(C18:D18),"")</f>
        <v>141.69999999999999</v>
      </c>
      <c r="F18" s="27"/>
      <c r="G18" s="124" t="str">
        <f>IF(INFO!B8&gt;5,'M Q'!D10,"")</f>
        <v/>
      </c>
      <c r="H18" s="125" t="str">
        <f>IF(INFO!B8&gt;5,'M Q'!E10,"")</f>
        <v/>
      </c>
      <c r="I18" s="126" t="str">
        <f>IF(INFO!B8&gt;5,'M Q'!F10,"")</f>
        <v/>
      </c>
      <c r="J18" s="124" t="str">
        <f>IF(INFO!B8&gt;5,SUM(H18:I18),"")</f>
        <v/>
      </c>
      <c r="K18" s="27"/>
      <c r="L18" s="124" t="str">
        <f>IF(INFO!B8&gt;10,'M Q'!D15,"")</f>
        <v/>
      </c>
      <c r="M18" s="125" t="str">
        <f>IF(INFO!B8&gt;10,'M Q'!E15,"")</f>
        <v/>
      </c>
      <c r="N18" s="126" t="str">
        <f>IF(INFO!B8&gt;10,'M Q'!F15,"")</f>
        <v/>
      </c>
      <c r="O18" s="124" t="str">
        <f>IF(INFO!B8&gt;10,SUM(M18:N18),"")</f>
        <v/>
      </c>
      <c r="P18" s="25"/>
      <c r="Q18" s="124" t="str">
        <f>IF(INFO!B8&gt;13,'M Q'!D18,"")</f>
        <v/>
      </c>
      <c r="R18" s="125" t="str">
        <f>IF(INFO!B8&gt;13,'M Q'!E18,"")</f>
        <v/>
      </c>
      <c r="S18" s="126" t="str">
        <f>IF(INFO!B8&gt;13,'M Q'!F18,"")</f>
        <v/>
      </c>
      <c r="T18" s="124" t="str">
        <f>IF(INFO!B8&gt;13,SUM(R18:S18),"")</f>
        <v/>
      </c>
      <c r="U18" s="25"/>
    </row>
    <row r="19" spans="1:21" s="26" customFormat="1" ht="24.95" customHeight="1">
      <c r="A19" s="24"/>
      <c r="B19" s="127" t="str">
        <f>IF(INFO!B8&gt;2,'M Q'!I7,"")</f>
        <v>BLANC Lena</v>
      </c>
      <c r="C19" s="128">
        <f>IF(INFO!B8&gt;2,'M Q'!J7,"")</f>
        <v>65.2</v>
      </c>
      <c r="D19" s="129">
        <f>IF(INFO!B8&gt;2,'M Q'!K7,"")</f>
        <v>70.400000000000006</v>
      </c>
      <c r="E19" s="127">
        <f>IF(INFO!B8&gt;2,SUM(C19:D19),"")</f>
        <v>135.60000000000002</v>
      </c>
      <c r="F19" s="27"/>
      <c r="G19" s="127" t="str">
        <f>IF(INFO!B8&gt;5,'M Q'!I10,"")</f>
        <v/>
      </c>
      <c r="H19" s="128" t="str">
        <f>IF(INFO!B8&gt;5,'M Q'!J10,"")</f>
        <v/>
      </c>
      <c r="I19" s="129" t="str">
        <f>IF(INFO!B8&gt;5,'M Q'!K10,"")</f>
        <v/>
      </c>
      <c r="J19" s="127" t="str">
        <f>IF(INFO!B8&gt;5,SUM(H19:I19),"")</f>
        <v/>
      </c>
      <c r="K19" s="27"/>
      <c r="L19" s="127" t="str">
        <f>IF(INFO!B8&gt;10,'M Q'!I15,"")</f>
        <v/>
      </c>
      <c r="M19" s="128" t="str">
        <f>IF(INFO!B8&gt;10,'M Q'!J15,"")</f>
        <v/>
      </c>
      <c r="N19" s="129" t="str">
        <f>IF(INFO!B8&gt;10,'M Q'!K15,"")</f>
        <v/>
      </c>
      <c r="O19" s="127" t="str">
        <f>IF(INFO!B8&gt;10,SUM(M19:N19),"")</f>
        <v/>
      </c>
      <c r="P19" s="25"/>
      <c r="Q19" s="127" t="str">
        <f>IF(INFO!B8&gt;13,'M Q'!I18,"")</f>
        <v/>
      </c>
      <c r="R19" s="128" t="str">
        <f>IF(INFO!B8&gt;13,'M Q'!J18,"")</f>
        <v/>
      </c>
      <c r="S19" s="129" t="str">
        <f>IF(INFO!B8&gt;13,'M Q'!K18,"")</f>
        <v/>
      </c>
      <c r="T19" s="127" t="str">
        <f>IF(INFO!B8&gt;13,SUM(R19:S19),"")</f>
        <v/>
      </c>
      <c r="U19" s="25"/>
    </row>
    <row r="20" spans="1:21" s="26" customFormat="1" ht="24.95" customHeight="1" thickBot="1">
      <c r="A20" s="24"/>
      <c r="B20" s="130" t="str">
        <f>IF(INFO!B8&gt;2,'M Q'!N7,"")</f>
        <v>PECHMEJA Loan</v>
      </c>
      <c r="C20" s="131">
        <f>IF(INFO!B8&gt;2,'M Q'!O7,"")</f>
        <v>69.5</v>
      </c>
      <c r="D20" s="132">
        <f>IF(INFO!B8&gt;2,'M Q'!P7,"")</f>
        <v>78.099999999999994</v>
      </c>
      <c r="E20" s="130">
        <f>IF(INFO!B8&gt;2,SUM(C20:D20),"")</f>
        <v>147.6</v>
      </c>
      <c r="F20" s="27"/>
      <c r="G20" s="130" t="str">
        <f>IF(INFO!B8&gt;5,'M Q'!N10,"")</f>
        <v/>
      </c>
      <c r="H20" s="131" t="str">
        <f>IF(INFO!B8&gt;5,'M Q'!O10,"")</f>
        <v/>
      </c>
      <c r="I20" s="132" t="str">
        <f>IF(INFO!B8&gt;5,'M Q'!P10,"")</f>
        <v/>
      </c>
      <c r="J20" s="130" t="str">
        <f>IF(INFO!B8&gt;5,SUM(H20:I20),"")</f>
        <v/>
      </c>
      <c r="K20" s="27"/>
      <c r="L20" s="130" t="str">
        <f>IF(INFO!B8&gt;10,'M Q'!N15,"")</f>
        <v/>
      </c>
      <c r="M20" s="131" t="str">
        <f>IF(INFO!B8&gt;10,'M Q'!O15,"")</f>
        <v/>
      </c>
      <c r="N20" s="132" t="str">
        <f>IF(INFO!B8&gt;10,'M Q'!P15,"")</f>
        <v/>
      </c>
      <c r="O20" s="130" t="str">
        <f>IF(INFO!B8&gt;10,SUM(M20:N20),"")</f>
        <v/>
      </c>
      <c r="P20" s="25"/>
      <c r="Q20" s="130" t="str">
        <f>IF(INFO!B8&gt;13,'M Q'!N18,"")</f>
        <v/>
      </c>
      <c r="R20" s="131" t="str">
        <f>IF(INFO!B8&gt;13,'M Q'!O18,"")</f>
        <v/>
      </c>
      <c r="S20" s="132" t="str">
        <f>IF(INFO!B8&gt;13,'M Q'!P18,"")</f>
        <v/>
      </c>
      <c r="T20" s="130" t="str">
        <f>IF(INFO!B8&gt;13,SUM(R20:S20),"")</f>
        <v/>
      </c>
      <c r="U20" s="25"/>
    </row>
    <row r="21" spans="1:21" s="26" customFormat="1" ht="24.95" customHeight="1" thickBot="1">
      <c r="A21" s="25"/>
      <c r="B21" s="27"/>
      <c r="C21" s="25"/>
      <c r="D21" s="25"/>
      <c r="E21" s="27"/>
      <c r="F21" s="27"/>
      <c r="K21" s="27"/>
      <c r="L21" s="27"/>
      <c r="M21" s="25"/>
      <c r="N21" s="25"/>
      <c r="O21" s="27"/>
      <c r="P21" s="25"/>
      <c r="Q21" s="27"/>
      <c r="R21" s="25"/>
      <c r="S21" s="25"/>
      <c r="T21" s="27"/>
      <c r="U21" s="25"/>
    </row>
    <row r="22" spans="1:21" s="26" customFormat="1" ht="24.95" customHeight="1" thickBot="1">
      <c r="A22" s="25"/>
      <c r="B22" s="119" t="str">
        <f>IF(INFO!B8&gt;3,"4e MQ","")</f>
        <v/>
      </c>
      <c r="C22" s="177" t="str">
        <f>IF(INFO!B8&gt;3,'M Q'!B8,"")</f>
        <v/>
      </c>
      <c r="D22" s="178"/>
      <c r="E22" s="120" t="str">
        <f>IF(INFO!B8&gt;3,'M Q'!S8,"")</f>
        <v/>
      </c>
      <c r="F22" s="27"/>
      <c r="G22" s="119" t="str">
        <f>IF(INFO!B8&gt;4,"5e MQ","")</f>
        <v/>
      </c>
      <c r="H22" s="177" t="str">
        <f>IF(INFO!B8&gt;4,'M Q'!B9,"")</f>
        <v/>
      </c>
      <c r="I22" s="178"/>
      <c r="J22" s="120" t="str">
        <f>IF(INFO!B8&gt;4,'M Q'!S9,"")</f>
        <v/>
      </c>
      <c r="K22" s="27"/>
      <c r="L22" s="119" t="s">
        <v>56</v>
      </c>
      <c r="M22" s="177" t="str">
        <f>IF(INFO!B8&gt;11,'M Q'!B16,"")</f>
        <v/>
      </c>
      <c r="N22" s="178"/>
      <c r="O22" s="120" t="str">
        <f>IF(INFO!B8&gt;11,'M Q'!S16,"")</f>
        <v/>
      </c>
      <c r="P22" s="25"/>
      <c r="Q22" s="119" t="s">
        <v>55</v>
      </c>
      <c r="R22" s="177" t="str">
        <f>IF(INFO!B8&gt;12,'M Q'!B17,"")</f>
        <v/>
      </c>
      <c r="S22" s="178"/>
      <c r="T22" s="120" t="str">
        <f>IF(INFO!B8&gt;12,'M Q'!S17,"")</f>
        <v/>
      </c>
      <c r="U22" s="25"/>
    </row>
    <row r="23" spans="1:21" s="26" customFormat="1" ht="24.95" customHeight="1" thickBot="1">
      <c r="A23" s="24"/>
      <c r="B23" s="119" t="s">
        <v>32</v>
      </c>
      <c r="C23" s="121" t="s">
        <v>33</v>
      </c>
      <c r="D23" s="122" t="s">
        <v>34</v>
      </c>
      <c r="E23" s="119" t="s">
        <v>23</v>
      </c>
      <c r="F23" s="123"/>
      <c r="G23" s="119" t="s">
        <v>32</v>
      </c>
      <c r="H23" s="121" t="s">
        <v>33</v>
      </c>
      <c r="I23" s="122" t="s">
        <v>34</v>
      </c>
      <c r="J23" s="119" t="s">
        <v>23</v>
      </c>
      <c r="K23" s="123"/>
      <c r="L23" s="119" t="s">
        <v>32</v>
      </c>
      <c r="M23" s="121" t="s">
        <v>33</v>
      </c>
      <c r="N23" s="122" t="s">
        <v>34</v>
      </c>
      <c r="O23" s="119" t="s">
        <v>23</v>
      </c>
      <c r="P23" s="25"/>
      <c r="Q23" s="119" t="s">
        <v>32</v>
      </c>
      <c r="R23" s="121" t="s">
        <v>33</v>
      </c>
      <c r="S23" s="122" t="s">
        <v>34</v>
      </c>
      <c r="T23" s="119" t="s">
        <v>23</v>
      </c>
      <c r="U23" s="25"/>
    </row>
    <row r="24" spans="1:21" s="26" customFormat="1" ht="24.95" customHeight="1">
      <c r="A24" s="24"/>
      <c r="B24" s="124" t="str">
        <f>IF(INFO!B8&gt;3,'M Q'!D8,"")</f>
        <v/>
      </c>
      <c r="C24" s="125" t="str">
        <f>IF(INFO!B8&gt;3,'M Q'!E8,"")</f>
        <v/>
      </c>
      <c r="D24" s="126" t="str">
        <f>IF(INFO!B8&gt;3,'M Q'!F8,"")</f>
        <v/>
      </c>
      <c r="E24" s="124" t="str">
        <f>IF(INFO!B8&gt;3,SUM(C24:D24),"")</f>
        <v/>
      </c>
      <c r="F24" s="27"/>
      <c r="G24" s="124" t="str">
        <f>IF(INFO!B8&gt;4,'M Q'!D9,"")</f>
        <v/>
      </c>
      <c r="H24" s="125" t="str">
        <f>IF(INFO!B8&gt;4,'M Q'!E9,"")</f>
        <v/>
      </c>
      <c r="I24" s="126" t="str">
        <f>IF(INFO!B8&gt;4,'M Q'!F9,"")</f>
        <v/>
      </c>
      <c r="J24" s="124" t="str">
        <f>IF(INFO!B8&gt;4,SUM(H24:I24),"")</f>
        <v/>
      </c>
      <c r="K24" s="27"/>
      <c r="L24" s="124" t="str">
        <f>IF(INFO!B8&gt;11,'M Q'!D16,"")</f>
        <v/>
      </c>
      <c r="M24" s="125" t="str">
        <f>IF(INFO!B8&gt;11,'M Q'!E16,"")</f>
        <v/>
      </c>
      <c r="N24" s="126" t="str">
        <f>IF(INFO!B8&gt;11,'M Q'!F16,"")</f>
        <v/>
      </c>
      <c r="O24" s="124" t="str">
        <f>IF(INFO!B8&gt;11,SUM(M24:N24),"")</f>
        <v/>
      </c>
      <c r="P24" s="25"/>
      <c r="Q24" s="124" t="str">
        <f>IF(INFO!B8&gt;12,'M Q'!D17,"")</f>
        <v/>
      </c>
      <c r="R24" s="125" t="str">
        <f>IF(INFO!B8&gt;12,'M Q'!E17,"")</f>
        <v/>
      </c>
      <c r="S24" s="126" t="str">
        <f>IF(INFO!B8&gt;12,'M Q'!F17,"")</f>
        <v/>
      </c>
      <c r="T24" s="124" t="str">
        <f>IF(INFO!B8&gt;12,SUM(R24:S24),"")</f>
        <v/>
      </c>
      <c r="U24" s="25"/>
    </row>
    <row r="25" spans="1:21" s="26" customFormat="1" ht="24.95" customHeight="1">
      <c r="A25" s="24"/>
      <c r="B25" s="127" t="str">
        <f>IF(INFO!B8&gt;3,'M Q'!I8,"")</f>
        <v/>
      </c>
      <c r="C25" s="128" t="str">
        <f>IF(INFO!B8&gt;3,'M Q'!J8,"")</f>
        <v/>
      </c>
      <c r="D25" s="129" t="str">
        <f>IF(INFO!B8&gt;3,'M Q'!K8,"")</f>
        <v/>
      </c>
      <c r="E25" s="127" t="str">
        <f>IF(INFO!B8&gt;3,SUM(C25:D25),"")</f>
        <v/>
      </c>
      <c r="F25" s="27"/>
      <c r="G25" s="127" t="str">
        <f>IF(INFO!B8&gt;4,'M Q'!I9,"")</f>
        <v/>
      </c>
      <c r="H25" s="128" t="str">
        <f>IF(INFO!B8&gt;4,'M Q'!J9,"")</f>
        <v/>
      </c>
      <c r="I25" s="129" t="str">
        <f>IF(INFO!B8&gt;4,'M Q'!K9,"")</f>
        <v/>
      </c>
      <c r="J25" s="127" t="str">
        <f>IF(INFO!B8&gt;4,SUM(H25:I25),"")</f>
        <v/>
      </c>
      <c r="K25" s="27"/>
      <c r="L25" s="127" t="str">
        <f>IF(INFO!B8&gt;11,'M Q'!I16,"")</f>
        <v/>
      </c>
      <c r="M25" s="128" t="str">
        <f>IF(INFO!B8&gt;11,'M Q'!J16,"")</f>
        <v/>
      </c>
      <c r="N25" s="129" t="str">
        <f>IF(INFO!B8&gt;11,'M Q'!K16,"")</f>
        <v/>
      </c>
      <c r="O25" s="127" t="str">
        <f>IF(INFO!B8&gt;11,SUM(M25:N25),"")</f>
        <v/>
      </c>
      <c r="P25" s="25"/>
      <c r="Q25" s="127" t="str">
        <f>IF(INFO!B8&gt;12,'M Q'!I17,"")</f>
        <v/>
      </c>
      <c r="R25" s="128" t="str">
        <f>IF(INFO!B8&gt;12,'M Q'!J17,"")</f>
        <v/>
      </c>
      <c r="S25" s="129" t="str">
        <f>IF(INFO!B8&gt;12,'M Q'!K17,"")</f>
        <v/>
      </c>
      <c r="T25" s="127" t="str">
        <f>IF(INFO!B8&gt;12,SUM(R25:S25),"")</f>
        <v/>
      </c>
      <c r="U25" s="25"/>
    </row>
    <row r="26" spans="1:21" s="26" customFormat="1" ht="24.95" customHeight="1" thickBot="1">
      <c r="A26" s="24"/>
      <c r="B26" s="130" t="str">
        <f>IF(INFO!B8&gt;3,'M Q'!N8,"")</f>
        <v/>
      </c>
      <c r="C26" s="131" t="str">
        <f>IF(INFO!B8&gt;3,'M Q'!O8,"")</f>
        <v/>
      </c>
      <c r="D26" s="132" t="str">
        <f>IF(INFO!B8&gt;3,'M Q'!P8,"")</f>
        <v/>
      </c>
      <c r="E26" s="130" t="str">
        <f>IF(INFO!B8&gt;3,SUM(C26:D26),"")</f>
        <v/>
      </c>
      <c r="F26" s="27"/>
      <c r="G26" s="130" t="str">
        <f>IF(INFO!B8&gt;4,'M Q'!N9,"")</f>
        <v/>
      </c>
      <c r="H26" s="131" t="str">
        <f>IF(INFO!B8&gt;4,'M Q'!O9,"")</f>
        <v/>
      </c>
      <c r="I26" s="132" t="str">
        <f>IF(INFO!B8&gt;4,'M Q'!P9,"")</f>
        <v/>
      </c>
      <c r="J26" s="130" t="str">
        <f>IF(INFO!B8&gt;4,SUM(H26:I26),"")</f>
        <v/>
      </c>
      <c r="K26" s="27"/>
      <c r="L26" s="130" t="str">
        <f>IF(INFO!B8&gt;11,'M Q'!N16,"")</f>
        <v/>
      </c>
      <c r="M26" s="131" t="str">
        <f>IF(INFO!B8&gt;11,'M Q'!O16,"")</f>
        <v/>
      </c>
      <c r="N26" s="132" t="str">
        <f>IF(INFO!B8&gt;11,'M Q'!P16,"")</f>
        <v/>
      </c>
      <c r="O26" s="130" t="str">
        <f>IF(INFO!B8&gt;11,SUM(M26:N26),"")</f>
        <v/>
      </c>
      <c r="P26" s="25"/>
      <c r="Q26" s="130" t="str">
        <f>IF(INFO!B8&gt;12,'M Q'!N17,"")</f>
        <v/>
      </c>
      <c r="R26" s="131" t="str">
        <f>IF(INFO!B8&gt;12,'M Q'!O17,"")</f>
        <v/>
      </c>
      <c r="S26" s="132" t="str">
        <f>IF(INFO!B8&gt;12,'M Q'!P17,"")</f>
        <v/>
      </c>
      <c r="T26" s="130" t="str">
        <f>IF(INFO!B8&gt;12,SUM(R26:S26),"")</f>
        <v/>
      </c>
      <c r="U26" s="25"/>
    </row>
    <row r="27" spans="1:21" s="26" customFormat="1" ht="17.100000000000001" customHeight="1"/>
  </sheetData>
  <sheetProtection password="CF6D" sheet="1" objects="1" scenarios="1" formatColumns="0" selectLockedCells="1"/>
  <mergeCells count="18">
    <mergeCell ref="H16:I16"/>
    <mergeCell ref="R16:S16"/>
    <mergeCell ref="B1:T1"/>
    <mergeCell ref="B2:T2"/>
    <mergeCell ref="C22:D22"/>
    <mergeCell ref="C16:D16"/>
    <mergeCell ref="C10:D10"/>
    <mergeCell ref="C4:D4"/>
    <mergeCell ref="M4:N4"/>
    <mergeCell ref="M10:N10"/>
    <mergeCell ref="M16:N16"/>
    <mergeCell ref="M22:N22"/>
    <mergeCell ref="H10:I10"/>
    <mergeCell ref="R10:S10"/>
    <mergeCell ref="H4:I4"/>
    <mergeCell ref="R4:S4"/>
    <mergeCell ref="H22:I22"/>
    <mergeCell ref="R22:S22"/>
  </mergeCells>
  <phoneticPr fontId="2"/>
  <conditionalFormatting sqref="B1:T26">
    <cfRule type="containsErrors" dxfId="35" priority="1">
      <formula>ISERROR(B1)</formula>
    </cfRule>
  </conditionalFormatting>
  <printOptions horizontalCentered="1" verticalCentered="1"/>
  <pageMargins left="0" right="0" top="0" bottom="0" header="0.19685039370078741" footer="0.19685039370078741"/>
  <pageSetup paperSize="9" scale="52" orientation="landscape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>
    <pageSetUpPr fitToPage="1"/>
  </sheetPr>
  <dimension ref="A1:V104"/>
  <sheetViews>
    <sheetView showGridLines="0" zoomScale="95" zoomScaleNormal="95" zoomScaleSheetLayoutView="75" zoomScalePageLayoutView="95" workbookViewId="0">
      <pane ySplit="2" topLeftCell="A85" activePane="bottomLeft" state="frozenSplit"/>
      <selection sqref="A1:C1"/>
      <selection pane="bottomLeft" activeCell="L103" sqref="L103"/>
    </sheetView>
  </sheetViews>
  <sheetFormatPr baseColWidth="10" defaultColWidth="8.125" defaultRowHeight="27.95" customHeight="1" outlineLevelRow="2"/>
  <cols>
    <col min="1" max="1" width="8.125" style="21" customWidth="1"/>
    <col min="2" max="2" width="10.625" style="21" customWidth="1"/>
    <col min="3" max="4" width="8.125" style="21" customWidth="1"/>
    <col min="5" max="6" width="6.625" style="21" customWidth="1"/>
    <col min="7" max="8" width="8.125" style="21" customWidth="1"/>
    <col min="9" max="9" width="10.625" style="21" customWidth="1"/>
    <col min="10" max="11" width="8.125" style="21" customWidth="1"/>
    <col min="12" max="12" width="10.625" style="21" customWidth="1"/>
    <col min="13" max="14" width="8.125" style="21" customWidth="1"/>
    <col min="15" max="16" width="6.625" style="21" customWidth="1"/>
    <col min="17" max="18" width="8.125" style="21" customWidth="1"/>
    <col min="19" max="19" width="10.625" style="21" customWidth="1"/>
    <col min="20" max="16384" width="8.125" style="21"/>
  </cols>
  <sheetData>
    <row r="1" spans="1:22" ht="50.1" customHeight="1">
      <c r="A1" s="179" t="str">
        <f>INFO!B7</f>
        <v>CARABINE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2" ht="60" customHeight="1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2" ht="60" customHeight="1" outlineLevel="1" thickBot="1">
      <c r="A3" s="179" t="s">
        <v>25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22" s="28" customFormat="1" ht="27.95" customHeight="1" outlineLevel="1" thickBot="1">
      <c r="B4" s="197" t="str">
        <f>'Clb Q'!C4</f>
        <v>38 TSM</v>
      </c>
      <c r="C4" s="198"/>
      <c r="D4" s="199"/>
      <c r="E4" s="206" t="s">
        <v>11</v>
      </c>
      <c r="F4" s="207"/>
      <c r="G4" s="197" t="str">
        <f>'Clb Q'!R4</f>
        <v/>
      </c>
      <c r="H4" s="198"/>
      <c r="I4" s="199"/>
      <c r="L4" s="197" t="str">
        <f>'Clb Q'!H22</f>
        <v/>
      </c>
      <c r="M4" s="198"/>
      <c r="N4" s="199"/>
      <c r="O4" s="206" t="s">
        <v>11</v>
      </c>
      <c r="P4" s="207"/>
      <c r="Q4" s="197" t="str">
        <f>'Clb Q'!M22</f>
        <v/>
      </c>
      <c r="R4" s="198"/>
      <c r="S4" s="199"/>
    </row>
    <row r="5" spans="1:22" s="27" customFormat="1" ht="21.95" customHeight="1" outlineLevel="2">
      <c r="B5" s="194" t="str">
        <f>'Clb Q'!B6</f>
        <v>ESTOR Valentin</v>
      </c>
      <c r="C5" s="195"/>
      <c r="D5" s="196"/>
      <c r="E5" s="97">
        <v>3</v>
      </c>
      <c r="F5" s="98">
        <v>4</v>
      </c>
      <c r="G5" s="194" t="str">
        <f>'Clb Q'!Q6</f>
        <v/>
      </c>
      <c r="H5" s="195"/>
      <c r="I5" s="196"/>
      <c r="L5" s="194" t="str">
        <f>'Clb Q'!G24</f>
        <v/>
      </c>
      <c r="M5" s="195"/>
      <c r="N5" s="196"/>
      <c r="O5" s="97">
        <v>13</v>
      </c>
      <c r="P5" s="98">
        <v>14</v>
      </c>
      <c r="Q5" s="194" t="str">
        <f>'Clb Q'!L24</f>
        <v/>
      </c>
      <c r="R5" s="195"/>
      <c r="S5" s="196"/>
    </row>
    <row r="6" spans="1:22" s="27" customFormat="1" ht="21.95" customHeight="1" outlineLevel="2">
      <c r="B6" s="194" t="str">
        <f>'Clb Q'!B7</f>
        <v>SAFFON Nathanael</v>
      </c>
      <c r="C6" s="195"/>
      <c r="D6" s="196"/>
      <c r="E6" s="97">
        <v>5</v>
      </c>
      <c r="F6" s="98">
        <v>6</v>
      </c>
      <c r="G6" s="194" t="str">
        <f>'Clb Q'!Q7</f>
        <v/>
      </c>
      <c r="H6" s="195"/>
      <c r="I6" s="196"/>
      <c r="L6" s="194" t="str">
        <f>'Clb Q'!G25</f>
        <v/>
      </c>
      <c r="M6" s="195"/>
      <c r="N6" s="196"/>
      <c r="O6" s="97">
        <v>15</v>
      </c>
      <c r="P6" s="98">
        <v>16</v>
      </c>
      <c r="Q6" s="194" t="str">
        <f>'Clb Q'!L25</f>
        <v/>
      </c>
      <c r="R6" s="195"/>
      <c r="S6" s="196"/>
    </row>
    <row r="7" spans="1:22" s="27" customFormat="1" ht="21.95" customHeight="1" outlineLevel="2" thickBot="1">
      <c r="B7" s="194" t="str">
        <f>'Clb Q'!B8</f>
        <v>SAVOUREY Victoria</v>
      </c>
      <c r="C7" s="195"/>
      <c r="D7" s="196"/>
      <c r="E7" s="97">
        <v>7</v>
      </c>
      <c r="F7" s="98">
        <v>8</v>
      </c>
      <c r="G7" s="194" t="str">
        <f>'Clb Q'!Q8</f>
        <v/>
      </c>
      <c r="H7" s="195"/>
      <c r="I7" s="196"/>
      <c r="L7" s="194" t="str">
        <f>'Clb Q'!G26</f>
        <v/>
      </c>
      <c r="M7" s="195"/>
      <c r="N7" s="196"/>
      <c r="O7" s="97">
        <v>17</v>
      </c>
      <c r="P7" s="98">
        <v>18</v>
      </c>
      <c r="Q7" s="194" t="str">
        <f>'Clb Q'!L26</f>
        <v/>
      </c>
      <c r="R7" s="195"/>
      <c r="S7" s="196"/>
    </row>
    <row r="8" spans="1:22" ht="21.95" customHeight="1" outlineLevel="1">
      <c r="A8" s="23" t="str">
        <f>IF(D8="","",IF(D8&gt;1,1,0))</f>
        <v/>
      </c>
      <c r="B8" s="183" t="str">
        <f>IF(D8="","",SUM(A8:A12))</f>
        <v/>
      </c>
      <c r="C8" s="192"/>
      <c r="D8" s="59"/>
      <c r="E8" s="227"/>
      <c r="F8" s="228"/>
      <c r="G8" s="59"/>
      <c r="H8" s="182" t="str">
        <f>IF(G8="","",SUM(J8:J12))</f>
        <v/>
      </c>
      <c r="I8" s="183"/>
      <c r="J8" s="29" t="str">
        <f>IF(G8="","",IF(G8&gt;1,1,0))</f>
        <v/>
      </c>
      <c r="K8" s="23" t="str">
        <f>IF(N8="","",IF(N8&gt;1,1,0))</f>
        <v/>
      </c>
      <c r="L8" s="183" t="str">
        <f>IF(N8="","",SUM(K8:K12))</f>
        <v/>
      </c>
      <c r="M8" s="192"/>
      <c r="N8" s="59"/>
      <c r="O8" s="214"/>
      <c r="P8" s="215"/>
      <c r="Q8" s="59"/>
      <c r="R8" s="182" t="str">
        <f>IF(Q8="","",SUM(T8:T12))</f>
        <v/>
      </c>
      <c r="S8" s="183"/>
      <c r="T8" s="29" t="str">
        <f>IF(Q8="","",IF(Q8&gt;1,1,0))</f>
        <v/>
      </c>
      <c r="V8" s="23"/>
    </row>
    <row r="9" spans="1:22" ht="21.95" customHeight="1" outlineLevel="1">
      <c r="A9" s="23" t="str">
        <f>IF(D9="","",IF(D9&gt;1,1,0))</f>
        <v/>
      </c>
      <c r="B9" s="185"/>
      <c r="C9" s="193"/>
      <c r="D9" s="60"/>
      <c r="E9" s="225"/>
      <c r="F9" s="226"/>
      <c r="G9" s="60"/>
      <c r="H9" s="184"/>
      <c r="I9" s="185"/>
      <c r="J9" s="29" t="str">
        <f>IF(G9="","",IF(G9&gt;1,1,0))</f>
        <v/>
      </c>
      <c r="K9" s="23" t="str">
        <f>IF(N9="","",IF(N9&gt;1,1,0))</f>
        <v/>
      </c>
      <c r="L9" s="185"/>
      <c r="M9" s="193"/>
      <c r="N9" s="60"/>
      <c r="O9" s="180"/>
      <c r="P9" s="181"/>
      <c r="Q9" s="60"/>
      <c r="R9" s="184"/>
      <c r="S9" s="185"/>
      <c r="T9" s="29" t="str">
        <f>IF(Q9="","",IF(Q9&gt;1,1,0))</f>
        <v/>
      </c>
      <c r="V9" s="23"/>
    </row>
    <row r="10" spans="1:22" ht="21.95" customHeight="1" outlineLevel="1">
      <c r="A10" s="23" t="str">
        <f>IF(D10="","",IF(D10&gt;1,1,0))</f>
        <v/>
      </c>
      <c r="B10" s="185"/>
      <c r="C10" s="193"/>
      <c r="D10" s="60"/>
      <c r="E10" s="225"/>
      <c r="F10" s="226"/>
      <c r="G10" s="60"/>
      <c r="H10" s="184"/>
      <c r="I10" s="185"/>
      <c r="J10" s="29" t="str">
        <f>IF(G10="","",IF(G10&gt;1,1,0))</f>
        <v/>
      </c>
      <c r="K10" s="23" t="str">
        <f>IF(N10="","",IF(N10&gt;1,1,0))</f>
        <v/>
      </c>
      <c r="L10" s="185"/>
      <c r="M10" s="193"/>
      <c r="N10" s="60"/>
      <c r="O10" s="180"/>
      <c r="P10" s="181"/>
      <c r="Q10" s="60"/>
      <c r="R10" s="184"/>
      <c r="S10" s="185"/>
      <c r="T10" s="29" t="str">
        <f>IF(Q10="","",IF(Q10&gt;1,1,0))</f>
        <v/>
      </c>
      <c r="V10" s="23"/>
    </row>
    <row r="11" spans="1:22" ht="21.95" customHeight="1" outlineLevel="1">
      <c r="A11" s="23" t="str">
        <f>IF(D11="","",IF(D11&gt;1,1,0))</f>
        <v/>
      </c>
      <c r="B11" s="185"/>
      <c r="C11" s="193"/>
      <c r="D11" s="60"/>
      <c r="E11" s="225"/>
      <c r="F11" s="226"/>
      <c r="G11" s="60"/>
      <c r="H11" s="184"/>
      <c r="I11" s="185"/>
      <c r="J11" s="29" t="str">
        <f>IF(G11="","",IF(G11&gt;1,1,0))</f>
        <v/>
      </c>
      <c r="K11" s="23" t="str">
        <f>IF(N11="","",IF(N11&gt;1,1,0))</f>
        <v/>
      </c>
      <c r="L11" s="185"/>
      <c r="M11" s="193"/>
      <c r="N11" s="60"/>
      <c r="O11" s="180"/>
      <c r="P11" s="181"/>
      <c r="Q11" s="60"/>
      <c r="R11" s="184"/>
      <c r="S11" s="185"/>
      <c r="T11" s="29" t="str">
        <f>IF(Q11="","",IF(Q11&gt;1,1,0))</f>
        <v/>
      </c>
      <c r="V11" s="23"/>
    </row>
    <row r="12" spans="1:22" ht="21.95" customHeight="1" outlineLevel="1" thickBot="1">
      <c r="A12" s="23" t="str">
        <f>IF(D12="","",IF(D12&gt;1,1,0))</f>
        <v/>
      </c>
      <c r="B12" s="185"/>
      <c r="C12" s="193"/>
      <c r="D12" s="61"/>
      <c r="E12" s="225"/>
      <c r="F12" s="226"/>
      <c r="G12" s="61"/>
      <c r="H12" s="184"/>
      <c r="I12" s="185"/>
      <c r="J12" s="29" t="str">
        <f>IF(G12="","",IF(G12&gt;1,1,0))</f>
        <v/>
      </c>
      <c r="K12" s="23" t="str">
        <f>IF(N12="","",IF(N12&gt;1,1,0))</f>
        <v/>
      </c>
      <c r="L12" s="185"/>
      <c r="M12" s="193"/>
      <c r="N12" s="61"/>
      <c r="O12" s="180"/>
      <c r="P12" s="181"/>
      <c r="Q12" s="61"/>
      <c r="R12" s="184"/>
      <c r="S12" s="185"/>
      <c r="T12" s="29" t="str">
        <f>IF(Q12="","",IF(Q12&gt;1,1,0))</f>
        <v/>
      </c>
      <c r="V12" s="23"/>
    </row>
    <row r="13" spans="1:22" ht="15.95" customHeight="1" outlineLevel="1" thickBot="1"/>
    <row r="14" spans="1:22" s="28" customFormat="1" ht="27.95" customHeight="1" outlineLevel="1" thickBot="1">
      <c r="B14" s="197" t="str">
        <f>'Clb Q'!M4</f>
        <v/>
      </c>
      <c r="C14" s="198"/>
      <c r="D14" s="199"/>
      <c r="E14" s="206" t="s">
        <v>11</v>
      </c>
      <c r="F14" s="207"/>
      <c r="G14" s="197" t="str">
        <f>'Clb Q'!H4</f>
        <v/>
      </c>
      <c r="H14" s="198"/>
      <c r="I14" s="199"/>
      <c r="L14" s="197" t="str">
        <f>'Clb Q'!R22</f>
        <v/>
      </c>
      <c r="M14" s="198"/>
      <c r="N14" s="199"/>
      <c r="O14" s="206" t="s">
        <v>11</v>
      </c>
      <c r="P14" s="207"/>
      <c r="Q14" s="197" t="str">
        <f>'Clb Q'!C22</f>
        <v/>
      </c>
      <c r="R14" s="198"/>
      <c r="S14" s="199"/>
    </row>
    <row r="15" spans="1:22" s="27" customFormat="1" ht="21.95" customHeight="1" outlineLevel="2">
      <c r="B15" s="194" t="str">
        <f>'Clb Q'!L6</f>
        <v/>
      </c>
      <c r="C15" s="195"/>
      <c r="D15" s="196"/>
      <c r="E15" s="97">
        <v>3</v>
      </c>
      <c r="F15" s="98">
        <v>4</v>
      </c>
      <c r="G15" s="194" t="str">
        <f>'Clb Q'!G6</f>
        <v/>
      </c>
      <c r="H15" s="195"/>
      <c r="I15" s="196"/>
      <c r="L15" s="194" t="str">
        <f>'Clb Q'!Q24</f>
        <v/>
      </c>
      <c r="M15" s="195"/>
      <c r="N15" s="196"/>
      <c r="O15" s="97">
        <v>13</v>
      </c>
      <c r="P15" s="98">
        <v>14</v>
      </c>
      <c r="Q15" s="194" t="str">
        <f>'Clb Q'!B24</f>
        <v/>
      </c>
      <c r="R15" s="195"/>
      <c r="S15" s="196"/>
    </row>
    <row r="16" spans="1:22" s="27" customFormat="1" ht="21.95" customHeight="1" outlineLevel="2">
      <c r="B16" s="194" t="str">
        <f>'Clb Q'!L7</f>
        <v/>
      </c>
      <c r="C16" s="195"/>
      <c r="D16" s="196"/>
      <c r="E16" s="97">
        <v>5</v>
      </c>
      <c r="F16" s="98">
        <v>6</v>
      </c>
      <c r="G16" s="194" t="str">
        <f>'Clb Q'!G7</f>
        <v/>
      </c>
      <c r="H16" s="195"/>
      <c r="I16" s="196"/>
      <c r="L16" s="194" t="str">
        <f>'Clb Q'!Q25</f>
        <v/>
      </c>
      <c r="M16" s="195"/>
      <c r="N16" s="196"/>
      <c r="O16" s="97">
        <v>15</v>
      </c>
      <c r="P16" s="98">
        <v>16</v>
      </c>
      <c r="Q16" s="194" t="str">
        <f>'Clb Q'!B25</f>
        <v/>
      </c>
      <c r="R16" s="195"/>
      <c r="S16" s="196"/>
    </row>
    <row r="17" spans="1:20" s="27" customFormat="1" ht="21.95" customHeight="1" outlineLevel="2" thickBot="1">
      <c r="B17" s="194" t="str">
        <f>'Clb Q'!L8</f>
        <v/>
      </c>
      <c r="C17" s="195"/>
      <c r="D17" s="196"/>
      <c r="E17" s="97">
        <v>7</v>
      </c>
      <c r="F17" s="98">
        <v>8</v>
      </c>
      <c r="G17" s="194" t="str">
        <f>'Clb Q'!G8</f>
        <v/>
      </c>
      <c r="H17" s="195"/>
      <c r="I17" s="196"/>
      <c r="L17" s="194" t="str">
        <f>'Clb Q'!Q26</f>
        <v/>
      </c>
      <c r="M17" s="195"/>
      <c r="N17" s="196"/>
      <c r="O17" s="97">
        <v>17</v>
      </c>
      <c r="P17" s="98">
        <v>18</v>
      </c>
      <c r="Q17" s="194" t="str">
        <f>'Clb Q'!B26</f>
        <v/>
      </c>
      <c r="R17" s="195"/>
      <c r="S17" s="196"/>
    </row>
    <row r="18" spans="1:20" ht="21.95" customHeight="1" outlineLevel="1">
      <c r="A18" s="23" t="str">
        <f>IF(D18="","",IF(D18&gt;1,1,0))</f>
        <v/>
      </c>
      <c r="B18" s="183" t="str">
        <f>IF(D18="","",SUM(A18:A22))</f>
        <v/>
      </c>
      <c r="C18" s="192"/>
      <c r="D18" s="59"/>
      <c r="E18" s="214"/>
      <c r="F18" s="215"/>
      <c r="G18" s="59"/>
      <c r="H18" s="182" t="str">
        <f>IF(G18="","",SUM(J18:J22))</f>
        <v/>
      </c>
      <c r="I18" s="183"/>
      <c r="J18" s="29" t="str">
        <f>IF(G18="","",IF(G18&gt;1,1,0))</f>
        <v/>
      </c>
      <c r="K18" s="23" t="str">
        <f>IF(N18="","",IF(N18&gt;1,1,0))</f>
        <v/>
      </c>
      <c r="L18" s="183" t="str">
        <f>IF(N18="","",SUM(K18:K22))</f>
        <v/>
      </c>
      <c r="M18" s="192"/>
      <c r="N18" s="59"/>
      <c r="O18" s="214"/>
      <c r="P18" s="215"/>
      <c r="Q18" s="59"/>
      <c r="R18" s="182" t="str">
        <f>IF(Q18="","",SUM(T18:T22))</f>
        <v/>
      </c>
      <c r="S18" s="183"/>
      <c r="T18" s="29" t="str">
        <f>IF(Q18="","",IF(Q18&gt;1,1,0))</f>
        <v/>
      </c>
    </row>
    <row r="19" spans="1:20" ht="21.95" customHeight="1" outlineLevel="1">
      <c r="A19" s="23" t="str">
        <f>IF(D19="","",IF(D19&gt;1,1,0))</f>
        <v/>
      </c>
      <c r="B19" s="185"/>
      <c r="C19" s="193"/>
      <c r="D19" s="60"/>
      <c r="E19" s="180"/>
      <c r="F19" s="181"/>
      <c r="G19" s="60"/>
      <c r="H19" s="184"/>
      <c r="I19" s="185"/>
      <c r="J19" s="29" t="str">
        <f>IF(G19="","",IF(G19&gt;1,1,0))</f>
        <v/>
      </c>
      <c r="K19" s="23" t="str">
        <f>IF(N19="","",IF(N19&gt;1,1,0))</f>
        <v/>
      </c>
      <c r="L19" s="185"/>
      <c r="M19" s="193"/>
      <c r="N19" s="60"/>
      <c r="O19" s="180"/>
      <c r="P19" s="181"/>
      <c r="Q19" s="60"/>
      <c r="R19" s="184"/>
      <c r="S19" s="185"/>
      <c r="T19" s="29" t="str">
        <f>IF(Q19="","",IF(Q19&gt;1,1,0))</f>
        <v/>
      </c>
    </row>
    <row r="20" spans="1:20" ht="21.95" customHeight="1" outlineLevel="1">
      <c r="A20" s="23" t="str">
        <f>IF(D20="","",IF(D20&gt;1,1,0))</f>
        <v/>
      </c>
      <c r="B20" s="185"/>
      <c r="C20" s="193"/>
      <c r="D20" s="60"/>
      <c r="E20" s="180"/>
      <c r="F20" s="181"/>
      <c r="G20" s="60"/>
      <c r="H20" s="184"/>
      <c r="I20" s="185"/>
      <c r="J20" s="29" t="str">
        <f>IF(G20="","",IF(G20&gt;1,1,0))</f>
        <v/>
      </c>
      <c r="K20" s="23" t="str">
        <f>IF(N20="","",IF(N20&gt;1,1,0))</f>
        <v/>
      </c>
      <c r="L20" s="185"/>
      <c r="M20" s="193"/>
      <c r="N20" s="60"/>
      <c r="O20" s="180"/>
      <c r="P20" s="181"/>
      <c r="Q20" s="60"/>
      <c r="R20" s="184"/>
      <c r="S20" s="185"/>
      <c r="T20" s="29" t="str">
        <f>IF(Q20="","",IF(Q20&gt;1,1,0))</f>
        <v/>
      </c>
    </row>
    <row r="21" spans="1:20" ht="21.95" customHeight="1" outlineLevel="1">
      <c r="A21" s="23" t="str">
        <f>IF(D21="","",IF(D21&gt;1,1,0))</f>
        <v/>
      </c>
      <c r="B21" s="185"/>
      <c r="C21" s="193"/>
      <c r="D21" s="60"/>
      <c r="E21" s="180"/>
      <c r="F21" s="181"/>
      <c r="G21" s="60"/>
      <c r="H21" s="184"/>
      <c r="I21" s="185"/>
      <c r="J21" s="29" t="str">
        <f>IF(G21="","",IF(G21&gt;1,1,0))</f>
        <v/>
      </c>
      <c r="K21" s="23" t="str">
        <f>IF(N21="","",IF(N21&gt;1,1,0))</f>
        <v/>
      </c>
      <c r="L21" s="185"/>
      <c r="M21" s="193"/>
      <c r="N21" s="60"/>
      <c r="O21" s="180"/>
      <c r="P21" s="181"/>
      <c r="Q21" s="60"/>
      <c r="R21" s="184"/>
      <c r="S21" s="185"/>
      <c r="T21" s="29" t="str">
        <f>IF(Q21="","",IF(Q21&gt;1,1,0))</f>
        <v/>
      </c>
    </row>
    <row r="22" spans="1:20" ht="21.95" customHeight="1" outlineLevel="1" thickBot="1">
      <c r="A22" s="23" t="str">
        <f>IF(D22="","",IF(D22&gt;1,1,0))</f>
        <v/>
      </c>
      <c r="B22" s="185"/>
      <c r="C22" s="193"/>
      <c r="D22" s="61"/>
      <c r="E22" s="180"/>
      <c r="F22" s="181"/>
      <c r="G22" s="61"/>
      <c r="H22" s="184"/>
      <c r="I22" s="185"/>
      <c r="J22" s="29" t="str">
        <f>IF(G22="","",IF(G22&gt;1,1,0))</f>
        <v/>
      </c>
      <c r="K22" s="23" t="str">
        <f>IF(N22="","",IF(N22&gt;1,1,0))</f>
        <v/>
      </c>
      <c r="L22" s="185"/>
      <c r="M22" s="193"/>
      <c r="N22" s="61"/>
      <c r="O22" s="180"/>
      <c r="P22" s="181"/>
      <c r="Q22" s="61"/>
      <c r="R22" s="184"/>
      <c r="S22" s="185"/>
      <c r="T22" s="29" t="str">
        <f>IF(Q22="","",IF(Q22&gt;1,1,0))</f>
        <v/>
      </c>
    </row>
    <row r="23" spans="1:20" ht="300" hidden="1" customHeight="1" outlineLevel="2"/>
    <row r="24" spans="1:20" ht="60" customHeight="1" outlineLevel="1" collapsed="1" thickBot="1">
      <c r="A24" s="179" t="s">
        <v>45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1:20" s="28" customFormat="1" ht="27.95" customHeight="1" outlineLevel="1" thickBot="1">
      <c r="B25" s="197" t="str">
        <f>'Clb Q'!C16</f>
        <v>AST MONTALBANAIS</v>
      </c>
      <c r="C25" s="198"/>
      <c r="D25" s="199"/>
      <c r="E25" s="206" t="s">
        <v>11</v>
      </c>
      <c r="F25" s="207"/>
      <c r="G25" s="197" t="str">
        <f>'Clb Q'!R16</f>
        <v/>
      </c>
      <c r="H25" s="198"/>
      <c r="I25" s="199"/>
      <c r="L25" s="197" t="str">
        <f>'Clb Q'!H10</f>
        <v/>
      </c>
      <c r="M25" s="198"/>
      <c r="N25" s="199"/>
      <c r="O25" s="206" t="s">
        <v>11</v>
      </c>
      <c r="P25" s="207"/>
      <c r="Q25" s="197" t="str">
        <f>'Clb Q'!M10</f>
        <v/>
      </c>
      <c r="R25" s="198"/>
      <c r="S25" s="199"/>
    </row>
    <row r="26" spans="1:20" s="27" customFormat="1" ht="21.95" customHeight="1" outlineLevel="2">
      <c r="B26" s="194" t="str">
        <f>'Clb Q'!B18</f>
        <v>BOUDEROUA Yamine</v>
      </c>
      <c r="C26" s="195"/>
      <c r="D26" s="196"/>
      <c r="E26" s="97">
        <v>3</v>
      </c>
      <c r="F26" s="98">
        <v>4</v>
      </c>
      <c r="G26" s="219" t="str">
        <f>'Clb Q'!Q18</f>
        <v/>
      </c>
      <c r="H26" s="220"/>
      <c r="I26" s="221"/>
      <c r="L26" s="194" t="str">
        <f>'Clb Q'!G12</f>
        <v/>
      </c>
      <c r="M26" s="195"/>
      <c r="N26" s="196"/>
      <c r="O26" s="97">
        <v>13</v>
      </c>
      <c r="P26" s="98">
        <v>14</v>
      </c>
      <c r="Q26" s="194" t="str">
        <f>'Clb Q'!L12</f>
        <v/>
      </c>
      <c r="R26" s="195"/>
      <c r="S26" s="196"/>
    </row>
    <row r="27" spans="1:20" s="27" customFormat="1" ht="21.95" customHeight="1" outlineLevel="2">
      <c r="B27" s="194" t="str">
        <f>'Clb Q'!B19</f>
        <v>BLANC Lena</v>
      </c>
      <c r="C27" s="195"/>
      <c r="D27" s="196"/>
      <c r="E27" s="97">
        <v>5</v>
      </c>
      <c r="F27" s="98">
        <v>6</v>
      </c>
      <c r="G27" s="194" t="str">
        <f>'Clb Q'!Q19</f>
        <v/>
      </c>
      <c r="H27" s="195"/>
      <c r="I27" s="196"/>
      <c r="L27" s="194" t="str">
        <f>'Clb Q'!G13</f>
        <v/>
      </c>
      <c r="M27" s="195"/>
      <c r="N27" s="196"/>
      <c r="O27" s="97">
        <v>15</v>
      </c>
      <c r="P27" s="98">
        <v>16</v>
      </c>
      <c r="Q27" s="194" t="str">
        <f>'Clb Q'!L13</f>
        <v/>
      </c>
      <c r="R27" s="195"/>
      <c r="S27" s="196"/>
    </row>
    <row r="28" spans="1:20" s="27" customFormat="1" ht="21.95" customHeight="1" outlineLevel="2" thickBot="1">
      <c r="B28" s="194" t="str">
        <f>'Clb Q'!B20</f>
        <v>PECHMEJA Loan</v>
      </c>
      <c r="C28" s="195"/>
      <c r="D28" s="196"/>
      <c r="E28" s="97">
        <v>7</v>
      </c>
      <c r="F28" s="98">
        <v>8</v>
      </c>
      <c r="G28" s="229" t="str">
        <f>'Clb Q'!Q20</f>
        <v/>
      </c>
      <c r="H28" s="230"/>
      <c r="I28" s="231"/>
      <c r="L28" s="194" t="str">
        <f>'Clb Q'!G14</f>
        <v/>
      </c>
      <c r="M28" s="195"/>
      <c r="N28" s="196"/>
      <c r="O28" s="97">
        <v>17</v>
      </c>
      <c r="P28" s="98">
        <v>18</v>
      </c>
      <c r="Q28" s="194" t="str">
        <f>'Clb Q'!L14</f>
        <v/>
      </c>
      <c r="R28" s="195"/>
      <c r="S28" s="196"/>
    </row>
    <row r="29" spans="1:20" ht="21.95" customHeight="1" outlineLevel="1">
      <c r="A29" s="23" t="str">
        <f>IF(D29="","",IF(D29&gt;1,1,0))</f>
        <v/>
      </c>
      <c r="B29" s="183" t="str">
        <f>IF(D29="","",SUM(A29:A33))</f>
        <v/>
      </c>
      <c r="C29" s="192"/>
      <c r="D29" s="59"/>
      <c r="E29" s="214"/>
      <c r="F29" s="215"/>
      <c r="G29" s="59"/>
      <c r="H29" s="182" t="str">
        <f>IF(G29="","",SUM(J29:J33))</f>
        <v/>
      </c>
      <c r="I29" s="183"/>
      <c r="J29" s="29" t="str">
        <f>IF(G29="","",IF(G29&gt;1,1,0))</f>
        <v/>
      </c>
      <c r="K29" s="23" t="str">
        <f>IF(N29="","",IF(N29&gt;1,1,0))</f>
        <v/>
      </c>
      <c r="L29" s="183" t="str">
        <f>IF(N29="","",SUM(K29:K33))</f>
        <v/>
      </c>
      <c r="M29" s="192"/>
      <c r="N29" s="59"/>
      <c r="O29" s="214"/>
      <c r="P29" s="215"/>
      <c r="Q29" s="59"/>
      <c r="R29" s="182" t="str">
        <f>IF(Q29="","",SUM(T29:T33))</f>
        <v/>
      </c>
      <c r="S29" s="183"/>
      <c r="T29" s="29" t="str">
        <f>IF(Q29="","",IF(Q29&gt;1,1,0))</f>
        <v/>
      </c>
    </row>
    <row r="30" spans="1:20" ht="21.95" customHeight="1" outlineLevel="1">
      <c r="A30" s="23" t="str">
        <f>IF(D30="","",IF(D30&gt;1,1,0))</f>
        <v/>
      </c>
      <c r="B30" s="185"/>
      <c r="C30" s="193"/>
      <c r="D30" s="60"/>
      <c r="E30" s="180"/>
      <c r="F30" s="181"/>
      <c r="G30" s="60"/>
      <c r="H30" s="184"/>
      <c r="I30" s="185"/>
      <c r="J30" s="29" t="str">
        <f>IF(G30="","",IF(G30&gt;1,1,0))</f>
        <v/>
      </c>
      <c r="K30" s="23" t="str">
        <f>IF(N30="","",IF(N30&gt;1,1,0))</f>
        <v/>
      </c>
      <c r="L30" s="185"/>
      <c r="M30" s="193"/>
      <c r="N30" s="60"/>
      <c r="O30" s="180"/>
      <c r="P30" s="181"/>
      <c r="Q30" s="60"/>
      <c r="R30" s="184"/>
      <c r="S30" s="185"/>
      <c r="T30" s="29" t="str">
        <f>IF(Q30="","",IF(Q30&gt;1,1,0))</f>
        <v/>
      </c>
    </row>
    <row r="31" spans="1:20" ht="21.95" customHeight="1" outlineLevel="1">
      <c r="A31" s="23" t="str">
        <f>IF(D31="","",IF(D31&gt;1,1,0))</f>
        <v/>
      </c>
      <c r="B31" s="185"/>
      <c r="C31" s="193"/>
      <c r="D31" s="60"/>
      <c r="E31" s="180"/>
      <c r="F31" s="181"/>
      <c r="G31" s="60"/>
      <c r="H31" s="184"/>
      <c r="I31" s="185"/>
      <c r="J31" s="29" t="str">
        <f>IF(G31="","",IF(G31&gt;1,1,0))</f>
        <v/>
      </c>
      <c r="K31" s="23" t="str">
        <f>IF(N31="","",IF(N31&gt;1,1,0))</f>
        <v/>
      </c>
      <c r="L31" s="185"/>
      <c r="M31" s="193"/>
      <c r="N31" s="60"/>
      <c r="O31" s="180"/>
      <c r="P31" s="181"/>
      <c r="Q31" s="60"/>
      <c r="R31" s="184"/>
      <c r="S31" s="185"/>
      <c r="T31" s="29" t="str">
        <f>IF(Q31="","",IF(Q31&gt;1,1,0))</f>
        <v/>
      </c>
    </row>
    <row r="32" spans="1:20" ht="21.95" customHeight="1" outlineLevel="1">
      <c r="A32" s="23" t="str">
        <f>IF(D32="","",IF(D32&gt;1,1,0))</f>
        <v/>
      </c>
      <c r="B32" s="185"/>
      <c r="C32" s="193"/>
      <c r="D32" s="60"/>
      <c r="E32" s="180"/>
      <c r="F32" s="181"/>
      <c r="G32" s="60"/>
      <c r="H32" s="184"/>
      <c r="I32" s="185"/>
      <c r="J32" s="29" t="str">
        <f>IF(G32="","",IF(G32&gt;1,1,0))</f>
        <v/>
      </c>
      <c r="K32" s="23" t="str">
        <f>IF(N32="","",IF(N32&gt;1,1,0))</f>
        <v/>
      </c>
      <c r="L32" s="185"/>
      <c r="M32" s="193"/>
      <c r="N32" s="60"/>
      <c r="O32" s="180"/>
      <c r="P32" s="181"/>
      <c r="Q32" s="60"/>
      <c r="R32" s="184"/>
      <c r="S32" s="185"/>
      <c r="T32" s="29" t="str">
        <f>IF(Q32="","",IF(Q32&gt;1,1,0))</f>
        <v/>
      </c>
    </row>
    <row r="33" spans="1:20" ht="21.95" customHeight="1" outlineLevel="1" thickBot="1">
      <c r="A33" s="23" t="str">
        <f>IF(D33="","",IF(D33&gt;1,1,0))</f>
        <v/>
      </c>
      <c r="B33" s="185"/>
      <c r="C33" s="193"/>
      <c r="D33" s="61"/>
      <c r="E33" s="180"/>
      <c r="F33" s="181"/>
      <c r="G33" s="61"/>
      <c r="H33" s="184"/>
      <c r="I33" s="185"/>
      <c r="J33" s="29" t="str">
        <f>IF(G33="","",IF(G33&gt;1,1,0))</f>
        <v/>
      </c>
      <c r="K33" s="23" t="str">
        <f>IF(N33="","",IF(N33&gt;1,1,0))</f>
        <v/>
      </c>
      <c r="L33" s="185"/>
      <c r="M33" s="193"/>
      <c r="N33" s="61"/>
      <c r="O33" s="180"/>
      <c r="P33" s="181"/>
      <c r="Q33" s="61"/>
      <c r="R33" s="184"/>
      <c r="S33" s="185"/>
      <c r="T33" s="29" t="str">
        <f>IF(Q33="","",IF(Q33&gt;1,1,0))</f>
        <v/>
      </c>
    </row>
    <row r="34" spans="1:20" ht="15" customHeight="1" outlineLevel="1"/>
    <row r="35" spans="1:20" ht="15" customHeight="1" outlineLevel="1" thickBot="1"/>
    <row r="36" spans="1:20" s="28" customFormat="1" ht="27.95" customHeight="1" outlineLevel="1" thickBot="1">
      <c r="B36" s="197" t="str">
        <f>'Clb Q'!M16</f>
        <v/>
      </c>
      <c r="C36" s="198"/>
      <c r="D36" s="199"/>
      <c r="E36" s="206" t="s">
        <v>11</v>
      </c>
      <c r="F36" s="207"/>
      <c r="G36" s="197" t="str">
        <f>'Clb Q'!H16</f>
        <v/>
      </c>
      <c r="H36" s="198"/>
      <c r="I36" s="199"/>
      <c r="L36" s="197" t="str">
        <f>'Clb Q'!R10</f>
        <v/>
      </c>
      <c r="M36" s="198"/>
      <c r="N36" s="199"/>
      <c r="O36" s="206" t="s">
        <v>11</v>
      </c>
      <c r="P36" s="207"/>
      <c r="Q36" s="197" t="str">
        <f>'Clb Q'!C10</f>
        <v>CT ST-GAUDINOIS</v>
      </c>
      <c r="R36" s="198"/>
      <c r="S36" s="199"/>
    </row>
    <row r="37" spans="1:20" s="27" customFormat="1" ht="21.95" customHeight="1" outlineLevel="2">
      <c r="B37" s="194" t="str">
        <f>'Clb Q'!L18</f>
        <v/>
      </c>
      <c r="C37" s="195"/>
      <c r="D37" s="196"/>
      <c r="E37" s="97">
        <v>3</v>
      </c>
      <c r="F37" s="98">
        <v>4</v>
      </c>
      <c r="G37" s="194" t="str">
        <f>'Clb Q'!G18</f>
        <v/>
      </c>
      <c r="H37" s="195"/>
      <c r="I37" s="196"/>
      <c r="L37" s="219" t="str">
        <f>'Clb Q'!Q12</f>
        <v/>
      </c>
      <c r="M37" s="220"/>
      <c r="N37" s="221"/>
      <c r="O37" s="97">
        <v>13</v>
      </c>
      <c r="P37" s="98">
        <v>14</v>
      </c>
      <c r="Q37" s="194" t="str">
        <f>'Clb Q'!B12</f>
        <v>MORANDINI Evan</v>
      </c>
      <c r="R37" s="195"/>
      <c r="S37" s="196"/>
    </row>
    <row r="38" spans="1:20" s="27" customFormat="1" ht="21.95" customHeight="1" outlineLevel="2">
      <c r="B38" s="194" t="str">
        <f>'Clb Q'!L19</f>
        <v/>
      </c>
      <c r="C38" s="195"/>
      <c r="D38" s="196"/>
      <c r="E38" s="97">
        <v>5</v>
      </c>
      <c r="F38" s="98">
        <v>6</v>
      </c>
      <c r="G38" s="194" t="str">
        <f>'Clb Q'!G19</f>
        <v/>
      </c>
      <c r="H38" s="195"/>
      <c r="I38" s="196"/>
      <c r="L38" s="194" t="str">
        <f>'Clb Q'!Q13</f>
        <v/>
      </c>
      <c r="M38" s="195"/>
      <c r="N38" s="196"/>
      <c r="O38" s="97">
        <v>15</v>
      </c>
      <c r="P38" s="98">
        <v>16</v>
      </c>
      <c r="Q38" s="194" t="str">
        <f>'Clb Q'!B13</f>
        <v>RAOUL Jules</v>
      </c>
      <c r="R38" s="195"/>
      <c r="S38" s="196"/>
    </row>
    <row r="39" spans="1:20" s="27" customFormat="1" ht="21.95" customHeight="1" outlineLevel="2" thickBot="1">
      <c r="B39" s="194" t="str">
        <f>'Clb Q'!L20</f>
        <v/>
      </c>
      <c r="C39" s="195"/>
      <c r="D39" s="196"/>
      <c r="E39" s="97">
        <v>7</v>
      </c>
      <c r="F39" s="98">
        <v>8</v>
      </c>
      <c r="G39" s="194" t="str">
        <f>'Clb Q'!G20</f>
        <v/>
      </c>
      <c r="H39" s="195"/>
      <c r="I39" s="196"/>
      <c r="L39" s="229" t="str">
        <f>'Clb Q'!Q14</f>
        <v/>
      </c>
      <c r="M39" s="230"/>
      <c r="N39" s="231"/>
      <c r="O39" s="97">
        <v>17</v>
      </c>
      <c r="P39" s="98">
        <v>18</v>
      </c>
      <c r="Q39" s="194" t="str">
        <f>'Clb Q'!B14</f>
        <v>EDARD Thibault</v>
      </c>
      <c r="R39" s="195"/>
      <c r="S39" s="196"/>
    </row>
    <row r="40" spans="1:20" ht="21.95" customHeight="1" outlineLevel="1">
      <c r="A40" s="23" t="str">
        <f>IF(D40="","",IF(D40&gt;1,1,0))</f>
        <v/>
      </c>
      <c r="B40" s="183" t="str">
        <f>IF(D40="","",SUM(A40:A44))</f>
        <v/>
      </c>
      <c r="C40" s="192"/>
      <c r="D40" s="59"/>
      <c r="E40" s="214"/>
      <c r="F40" s="215"/>
      <c r="G40" s="59"/>
      <c r="H40" s="182" t="str">
        <f>IF(G40="","",SUM(J40:J44))</f>
        <v/>
      </c>
      <c r="I40" s="183"/>
      <c r="J40" s="29" t="str">
        <f>IF(G40="","",IF(G40&gt;1,1,0))</f>
        <v/>
      </c>
      <c r="K40" s="23" t="str">
        <f>IF(N40="","",IF(N40&gt;1,1,0))</f>
        <v/>
      </c>
      <c r="L40" s="183" t="str">
        <f>IF(N40="","",SUM(K40:K44))</f>
        <v/>
      </c>
      <c r="M40" s="192"/>
      <c r="N40" s="59"/>
      <c r="O40" s="214"/>
      <c r="P40" s="215"/>
      <c r="Q40" s="59"/>
      <c r="R40" s="182" t="str">
        <f>IF(Q40="","",SUM(T40:T44))</f>
        <v/>
      </c>
      <c r="S40" s="183"/>
      <c r="T40" s="29" t="str">
        <f>IF(Q40="","",IF(Q40&gt;1,1,0))</f>
        <v/>
      </c>
    </row>
    <row r="41" spans="1:20" ht="21.95" customHeight="1" outlineLevel="1">
      <c r="A41" s="23" t="str">
        <f>IF(D41="","",IF(D41&gt;1,1,0))</f>
        <v/>
      </c>
      <c r="B41" s="185"/>
      <c r="C41" s="193"/>
      <c r="D41" s="60"/>
      <c r="E41" s="180"/>
      <c r="F41" s="181"/>
      <c r="G41" s="60"/>
      <c r="H41" s="184"/>
      <c r="I41" s="185"/>
      <c r="J41" s="29" t="str">
        <f>IF(G41="","",IF(G41&gt;1,1,0))</f>
        <v/>
      </c>
      <c r="K41" s="23" t="str">
        <f>IF(N41="","",IF(N41&gt;1,1,0))</f>
        <v/>
      </c>
      <c r="L41" s="185"/>
      <c r="M41" s="193"/>
      <c r="N41" s="60"/>
      <c r="O41" s="180"/>
      <c r="P41" s="181"/>
      <c r="Q41" s="60"/>
      <c r="R41" s="184"/>
      <c r="S41" s="185"/>
      <c r="T41" s="29" t="str">
        <f>IF(Q41="","",IF(Q41&gt;1,1,0))</f>
        <v/>
      </c>
    </row>
    <row r="42" spans="1:20" ht="21.95" customHeight="1" outlineLevel="1">
      <c r="A42" s="23" t="str">
        <f>IF(D42="","",IF(D42&gt;1,1,0))</f>
        <v/>
      </c>
      <c r="B42" s="185"/>
      <c r="C42" s="193"/>
      <c r="D42" s="60"/>
      <c r="E42" s="180"/>
      <c r="F42" s="181"/>
      <c r="G42" s="60"/>
      <c r="H42" s="184"/>
      <c r="I42" s="185"/>
      <c r="J42" s="29" t="str">
        <f>IF(G42="","",IF(G42&gt;1,1,0))</f>
        <v/>
      </c>
      <c r="K42" s="23" t="str">
        <f>IF(N42="","",IF(N42&gt;1,1,0))</f>
        <v/>
      </c>
      <c r="L42" s="185"/>
      <c r="M42" s="193"/>
      <c r="N42" s="60"/>
      <c r="O42" s="180"/>
      <c r="P42" s="181"/>
      <c r="Q42" s="60"/>
      <c r="R42" s="184"/>
      <c r="S42" s="185"/>
      <c r="T42" s="29" t="str">
        <f>IF(Q42="","",IF(Q42&gt;1,1,0))</f>
        <v/>
      </c>
    </row>
    <row r="43" spans="1:20" ht="21.95" customHeight="1" outlineLevel="1">
      <c r="A43" s="23" t="str">
        <f>IF(D43="","",IF(D43&gt;1,1,0))</f>
        <v/>
      </c>
      <c r="B43" s="185"/>
      <c r="C43" s="193"/>
      <c r="D43" s="60"/>
      <c r="E43" s="180"/>
      <c r="F43" s="181"/>
      <c r="G43" s="60"/>
      <c r="H43" s="184"/>
      <c r="I43" s="185"/>
      <c r="J43" s="29" t="str">
        <f>IF(G43="","",IF(G43&gt;1,1,0))</f>
        <v/>
      </c>
      <c r="K43" s="23" t="str">
        <f>IF(N43="","",IF(N43&gt;1,1,0))</f>
        <v/>
      </c>
      <c r="L43" s="185"/>
      <c r="M43" s="193"/>
      <c r="N43" s="60"/>
      <c r="O43" s="180"/>
      <c r="P43" s="181"/>
      <c r="Q43" s="60"/>
      <c r="R43" s="184"/>
      <c r="S43" s="185"/>
      <c r="T43" s="29" t="str">
        <f>IF(Q43="","",IF(Q43&gt;1,1,0))</f>
        <v/>
      </c>
    </row>
    <row r="44" spans="1:20" ht="21.95" customHeight="1" outlineLevel="1" thickBot="1">
      <c r="A44" s="23" t="str">
        <f>IF(D44="","",IF(D44&gt;1,1,0))</f>
        <v/>
      </c>
      <c r="B44" s="185"/>
      <c r="C44" s="193"/>
      <c r="D44" s="61"/>
      <c r="E44" s="180"/>
      <c r="F44" s="181"/>
      <c r="G44" s="61"/>
      <c r="H44" s="184"/>
      <c r="I44" s="185"/>
      <c r="J44" s="29" t="str">
        <f>IF(G44="","",IF(G44&gt;1,1,0))</f>
        <v/>
      </c>
      <c r="K44" s="23" t="str">
        <f>IF(N44="","",IF(N44&gt;1,1,0))</f>
        <v/>
      </c>
      <c r="L44" s="185"/>
      <c r="M44" s="193"/>
      <c r="N44" s="61"/>
      <c r="O44" s="180"/>
      <c r="P44" s="181"/>
      <c r="Q44" s="61"/>
      <c r="R44" s="184"/>
      <c r="S44" s="185"/>
      <c r="T44" s="29" t="str">
        <f>IF(Q44="","",IF(Q44&gt;1,1,0))</f>
        <v/>
      </c>
    </row>
    <row r="45" spans="1:20" ht="60" customHeight="1" thickBot="1">
      <c r="A45" s="179" t="s">
        <v>12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</row>
    <row r="46" spans="1:20" s="28" customFormat="1" ht="27.95" customHeight="1" thickBot="1">
      <c r="B46" s="222" t="str">
        <f>IF(G4="",B4,IF(B8="","",IF(B8&gt;2,B4,IF(H8&gt;2,G4,""))))</f>
        <v>38 TSM</v>
      </c>
      <c r="C46" s="223"/>
      <c r="D46" s="224"/>
      <c r="E46" s="206" t="s">
        <v>11</v>
      </c>
      <c r="F46" s="207"/>
      <c r="G46" s="222" t="str">
        <f>IF(B14="",G14,IF(B18="","",IF(B18&gt;2,B14,IF(H18&gt;2,G14,""))))</f>
        <v/>
      </c>
      <c r="H46" s="223"/>
      <c r="I46" s="224"/>
      <c r="L46" s="222" t="str">
        <f>IF(G25="",B25,IF(B29="","",IF(B29&gt;2,B25,IF(H29&gt;2,G25,""))))</f>
        <v>AST MONTALBANAIS</v>
      </c>
      <c r="M46" s="223"/>
      <c r="N46" s="224"/>
      <c r="O46" s="206" t="s">
        <v>11</v>
      </c>
      <c r="P46" s="207"/>
      <c r="Q46" s="222" t="str">
        <f>IF(B36="",G36,IF(B40="","",IF(B40&gt;2,B36,IF(H40&gt;2,G36,""))))</f>
        <v/>
      </c>
      <c r="R46" s="223"/>
      <c r="S46" s="224"/>
    </row>
    <row r="47" spans="1:20" s="27" customFormat="1" ht="21.95" customHeight="1" outlineLevel="1">
      <c r="B47" s="189" t="str">
        <f>IF(G4="",B5,IF(B8="","",IF(B8&gt;2,B5,IF(H8&gt;2,G5,""))))</f>
        <v>ESTOR Valentin</v>
      </c>
      <c r="C47" s="190"/>
      <c r="D47" s="191"/>
      <c r="E47" s="95">
        <v>3</v>
      </c>
      <c r="F47" s="96">
        <v>4</v>
      </c>
      <c r="G47" s="189" t="str">
        <f>IF(B14="",G15,IF(B18="","",IF(B18&gt;2,B15,IF(H18&gt;2,G15,""))))</f>
        <v/>
      </c>
      <c r="H47" s="190"/>
      <c r="I47" s="191"/>
      <c r="L47" s="189" t="str">
        <f>IF(G25="",B26,IF(B29="","",IF(B29&gt;2,B26,IF(H29&gt;2,G26,""))))</f>
        <v>BOUDEROUA Yamine</v>
      </c>
      <c r="M47" s="190"/>
      <c r="N47" s="191"/>
      <c r="O47" s="95">
        <v>3</v>
      </c>
      <c r="P47" s="96">
        <v>4</v>
      </c>
      <c r="Q47" s="189" t="str">
        <f>IF(B36="",G37,IF(B40="","",IF(B40&gt;2,B37,IF(H40&gt;2,G37,""))))</f>
        <v/>
      </c>
      <c r="R47" s="190"/>
      <c r="S47" s="191"/>
    </row>
    <row r="48" spans="1:20" s="27" customFormat="1" ht="21.95" customHeight="1" outlineLevel="1">
      <c r="B48" s="189" t="str">
        <f>IF(G4="",B6,IF(B8="","",IF(B8&gt;2,B6,IF(H8&gt;2,G6,""))))</f>
        <v>SAFFON Nathanael</v>
      </c>
      <c r="C48" s="190"/>
      <c r="D48" s="191"/>
      <c r="E48" s="95">
        <v>5</v>
      </c>
      <c r="F48" s="96">
        <v>6</v>
      </c>
      <c r="G48" s="189" t="str">
        <f>IF(B14="",G16,IF(B18="","",IF(B18&gt;2,B16,IF(H18&gt;2,G16,""))))</f>
        <v/>
      </c>
      <c r="H48" s="190"/>
      <c r="I48" s="191"/>
      <c r="L48" s="189" t="str">
        <f>IF(G25="",B27,IF(B29="","",IF(B29&gt;2,B27,IF(H29&gt;2,G27,""))))</f>
        <v>BLANC Lena</v>
      </c>
      <c r="M48" s="190"/>
      <c r="N48" s="191"/>
      <c r="O48" s="95">
        <v>5</v>
      </c>
      <c r="P48" s="96">
        <v>6</v>
      </c>
      <c r="Q48" s="189" t="str">
        <f>IF(B36="",G38,IF(B40="","",IF(B40&gt;2,B38,IF(H40&gt;2,G38,""))))</f>
        <v/>
      </c>
      <c r="R48" s="190"/>
      <c r="S48" s="191"/>
    </row>
    <row r="49" spans="1:20" s="27" customFormat="1" ht="21.95" customHeight="1" outlineLevel="1" thickBot="1">
      <c r="B49" s="189" t="str">
        <f>IF(G4="",B7,IF(B8="","",IF(B8&gt;2,B7,IF(H8&gt;2,G7,""))))</f>
        <v>SAVOUREY Victoria</v>
      </c>
      <c r="C49" s="190"/>
      <c r="D49" s="191"/>
      <c r="E49" s="95">
        <v>7</v>
      </c>
      <c r="F49" s="96">
        <v>8</v>
      </c>
      <c r="G49" s="189" t="str">
        <f>IF(B14="",G17,IF(B18="","",IF(B18&gt;2,B17,IF(H18&gt;2,G17,""))))</f>
        <v/>
      </c>
      <c r="H49" s="190"/>
      <c r="I49" s="191"/>
      <c r="L49" s="189" t="str">
        <f>IF(G25="",B28,IF(B29="","",IF(B29&gt;2,B28,IF(H29&gt;2,G28,""))))</f>
        <v>PECHMEJA Loan</v>
      </c>
      <c r="M49" s="190"/>
      <c r="N49" s="191"/>
      <c r="O49" s="95">
        <v>7</v>
      </c>
      <c r="P49" s="96">
        <v>8</v>
      </c>
      <c r="Q49" s="189" t="str">
        <f>IF(B36="",G39,IF(B40="","",IF(B40&gt;2,B39,IF(H40&gt;2,G39,""))))</f>
        <v/>
      </c>
      <c r="R49" s="190"/>
      <c r="S49" s="191"/>
    </row>
    <row r="50" spans="1:20" ht="21.95" customHeight="1">
      <c r="A50" s="23" t="str">
        <f>IF(D50="","",IF(D50&gt;1,1,0))</f>
        <v/>
      </c>
      <c r="B50" s="183" t="str">
        <f>IF(D50="","",SUM(A50:A54))</f>
        <v/>
      </c>
      <c r="C50" s="192"/>
      <c r="D50" s="59"/>
      <c r="E50" s="214"/>
      <c r="F50" s="215"/>
      <c r="G50" s="59"/>
      <c r="H50" s="182" t="str">
        <f>IF(G50="","",SUM(J50:J54))</f>
        <v/>
      </c>
      <c r="I50" s="183"/>
      <c r="J50" s="29" t="str">
        <f>IF(G50="","",IF(G50&gt;1,1,0))</f>
        <v/>
      </c>
      <c r="K50" s="23" t="str">
        <f>IF(N50="","",IF(N50&gt;1,1,0))</f>
        <v/>
      </c>
      <c r="L50" s="183" t="str">
        <f>IF(N50="","",SUM(K50:K54))</f>
        <v/>
      </c>
      <c r="M50" s="192"/>
      <c r="N50" s="59"/>
      <c r="O50" s="232"/>
      <c r="P50" s="233"/>
      <c r="Q50" s="59"/>
      <c r="R50" s="182" t="str">
        <f>IF(Q50="","",SUM(T50:T54))</f>
        <v/>
      </c>
      <c r="S50" s="183"/>
      <c r="T50" s="29" t="str">
        <f>IF(Q50="","",IF(Q50&gt;1,1,0))</f>
        <v/>
      </c>
    </row>
    <row r="51" spans="1:20" ht="21.95" customHeight="1">
      <c r="A51" s="23" t="str">
        <f>IF(D51="","",IF(D51&gt;1,1,0))</f>
        <v/>
      </c>
      <c r="B51" s="185"/>
      <c r="C51" s="193"/>
      <c r="D51" s="60"/>
      <c r="E51" s="180"/>
      <c r="F51" s="181"/>
      <c r="G51" s="60"/>
      <c r="H51" s="184"/>
      <c r="I51" s="185"/>
      <c r="J51" s="29" t="str">
        <f>IF(G51="","",IF(G51&gt;1,1,0))</f>
        <v/>
      </c>
      <c r="K51" s="23" t="str">
        <f>IF(N51="","",IF(N51&gt;1,1,0))</f>
        <v/>
      </c>
      <c r="L51" s="185"/>
      <c r="M51" s="193"/>
      <c r="N51" s="60"/>
      <c r="O51" s="180"/>
      <c r="P51" s="181"/>
      <c r="Q51" s="60"/>
      <c r="R51" s="184"/>
      <c r="S51" s="185"/>
      <c r="T51" s="29" t="str">
        <f>IF(Q51="","",IF(Q51&gt;1,1,0))</f>
        <v/>
      </c>
    </row>
    <row r="52" spans="1:20" ht="21.95" customHeight="1">
      <c r="A52" s="23" t="str">
        <f>IF(D52="","",IF(D52&gt;1,1,0))</f>
        <v/>
      </c>
      <c r="B52" s="185"/>
      <c r="C52" s="193"/>
      <c r="D52" s="60"/>
      <c r="E52" s="180"/>
      <c r="F52" s="181"/>
      <c r="G52" s="60"/>
      <c r="H52" s="184"/>
      <c r="I52" s="185"/>
      <c r="J52" s="29" t="str">
        <f>IF(G52="","",IF(G52&gt;1,1,0))</f>
        <v/>
      </c>
      <c r="K52" s="23" t="str">
        <f>IF(N52="","",IF(N52&gt;1,1,0))</f>
        <v/>
      </c>
      <c r="L52" s="185"/>
      <c r="M52" s="193"/>
      <c r="N52" s="60"/>
      <c r="O52" s="180"/>
      <c r="P52" s="181"/>
      <c r="Q52" s="60"/>
      <c r="R52" s="184"/>
      <c r="S52" s="185"/>
      <c r="T52" s="29" t="str">
        <f>IF(Q52="","",IF(Q52&gt;1,1,0))</f>
        <v/>
      </c>
    </row>
    <row r="53" spans="1:20" ht="21.95" customHeight="1">
      <c r="A53" s="23" t="str">
        <f>IF(D53="","",IF(D53&gt;1,1,0))</f>
        <v/>
      </c>
      <c r="B53" s="185"/>
      <c r="C53" s="193"/>
      <c r="D53" s="60"/>
      <c r="E53" s="180"/>
      <c r="F53" s="181"/>
      <c r="G53" s="60"/>
      <c r="H53" s="184"/>
      <c r="I53" s="185"/>
      <c r="J53" s="29" t="str">
        <f>IF(G53="","",IF(G53&gt;1,1,0))</f>
        <v/>
      </c>
      <c r="K53" s="23" t="str">
        <f>IF(N53="","",IF(N53&gt;1,1,0))</f>
        <v/>
      </c>
      <c r="L53" s="185"/>
      <c r="M53" s="193"/>
      <c r="N53" s="60"/>
      <c r="O53" s="180"/>
      <c r="P53" s="181"/>
      <c r="Q53" s="60"/>
      <c r="R53" s="184"/>
      <c r="S53" s="185"/>
      <c r="T53" s="29" t="str">
        <f>IF(Q53="","",IF(Q53&gt;1,1,0))</f>
        <v/>
      </c>
    </row>
    <row r="54" spans="1:20" ht="21.95" customHeight="1" thickBot="1">
      <c r="A54" s="23" t="str">
        <f>IF(D54="","",IF(D54&gt;1,1,0))</f>
        <v/>
      </c>
      <c r="B54" s="185"/>
      <c r="C54" s="193"/>
      <c r="D54" s="61"/>
      <c r="E54" s="180"/>
      <c r="F54" s="181"/>
      <c r="G54" s="61"/>
      <c r="H54" s="184"/>
      <c r="I54" s="185"/>
      <c r="J54" s="29" t="str">
        <f>IF(G54="","",IF(G54&gt;1,1,0))</f>
        <v/>
      </c>
      <c r="K54" s="23" t="str">
        <f>IF(N54="","",IF(N54&gt;1,1,0))</f>
        <v/>
      </c>
      <c r="L54" s="185"/>
      <c r="M54" s="193"/>
      <c r="N54" s="61"/>
      <c r="O54" s="180"/>
      <c r="P54" s="181"/>
      <c r="Q54" s="61"/>
      <c r="R54" s="184"/>
      <c r="S54" s="185"/>
      <c r="T54" s="29" t="str">
        <f>IF(Q54="","",IF(Q54&gt;1,1,0))</f>
        <v/>
      </c>
    </row>
    <row r="55" spans="1:20" ht="30" customHeight="1" thickBot="1"/>
    <row r="56" spans="1:20" s="28" customFormat="1" ht="27.95" customHeight="1" thickBot="1">
      <c r="B56" s="222" t="str">
        <f>IF(Q4="",L4,IF(L8="","",IF(L8&gt;2,L4,IF(R8&gt;2,Q4,""))))</f>
        <v/>
      </c>
      <c r="C56" s="223"/>
      <c r="D56" s="224"/>
      <c r="E56" s="206" t="s">
        <v>11</v>
      </c>
      <c r="F56" s="207"/>
      <c r="G56" s="222" t="str">
        <f>IF(L14="",Q14,IF(L18="","",IF(L18&gt;2,L14,IF(R18&gt;2,Q14,""))))</f>
        <v/>
      </c>
      <c r="H56" s="223"/>
      <c r="I56" s="224"/>
      <c r="L56" s="222" t="str">
        <f>IF(Q25="",L25,IF(L29="","",IF(L29&gt;2,L25,IF(R29&gt;2,Q25,""))))</f>
        <v/>
      </c>
      <c r="M56" s="223"/>
      <c r="N56" s="224"/>
      <c r="O56" s="206" t="s">
        <v>11</v>
      </c>
      <c r="P56" s="207"/>
      <c r="Q56" s="222" t="str">
        <f>IF(L36="",Q36,IF(L40="","",IF(L40&gt;2,L36,IF(R40&gt;2,Q36,""))))</f>
        <v>CT ST-GAUDINOIS</v>
      </c>
      <c r="R56" s="223"/>
      <c r="S56" s="224"/>
    </row>
    <row r="57" spans="1:20" s="27" customFormat="1" ht="21.95" customHeight="1" outlineLevel="1">
      <c r="B57" s="189" t="str">
        <f>IF(Q4="",L5,IF(L8="","",IF(L8&gt;2,L5,IF(R8&gt;2,Q5,""))))</f>
        <v/>
      </c>
      <c r="C57" s="190"/>
      <c r="D57" s="191"/>
      <c r="E57" s="95">
        <v>13</v>
      </c>
      <c r="F57" s="96">
        <v>14</v>
      </c>
      <c r="G57" s="189" t="str">
        <f>IF(L14="",Q15,IF(L18="","",IF(L18&gt;2,L15,IF(R18&gt;2,Q15,""))))</f>
        <v/>
      </c>
      <c r="H57" s="190"/>
      <c r="I57" s="191"/>
      <c r="L57" s="189" t="str">
        <f>IF(Q25="",L26,IF(L29="","",IF(L29&gt;2,L26,IF(R29&gt;2,Q26,""))))</f>
        <v/>
      </c>
      <c r="M57" s="190"/>
      <c r="N57" s="191"/>
      <c r="O57" s="95">
        <v>13</v>
      </c>
      <c r="P57" s="96">
        <v>14</v>
      </c>
      <c r="Q57" s="189" t="str">
        <f>IF(L36="",Q37,IF(L40="","",IF(L40&gt;2,L37,IF(R40&gt;2,Q37,""))))</f>
        <v>MORANDINI Evan</v>
      </c>
      <c r="R57" s="190"/>
      <c r="S57" s="191"/>
    </row>
    <row r="58" spans="1:20" s="27" customFormat="1" ht="21.95" customHeight="1" outlineLevel="1">
      <c r="B58" s="189" t="str">
        <f>IF(Q4="",L6,IF(L8="","",IF(L8&gt;2,L6,IF(R8&gt;2,Q6,""))))</f>
        <v/>
      </c>
      <c r="C58" s="190"/>
      <c r="D58" s="191"/>
      <c r="E58" s="95">
        <v>15</v>
      </c>
      <c r="F58" s="96">
        <v>16</v>
      </c>
      <c r="G58" s="189" t="str">
        <f>IF(L14="",Q16,IF(L18="","",IF(L18&gt;2,L16,IF(R18&gt;2,Q16,""))))</f>
        <v/>
      </c>
      <c r="H58" s="190"/>
      <c r="I58" s="191"/>
      <c r="L58" s="189" t="str">
        <f>IF(Q25="",L27,IF(L29="","",IF(L29&gt;2,L27,IF(R29&gt;2,Q27,""))))</f>
        <v/>
      </c>
      <c r="M58" s="190"/>
      <c r="N58" s="191"/>
      <c r="O58" s="95">
        <v>15</v>
      </c>
      <c r="P58" s="96">
        <v>16</v>
      </c>
      <c r="Q58" s="189" t="str">
        <f>IF(L36="",Q38,IF(L40="","",IF(L40&gt;2,L38,IF(R40&gt;2,Q38,""))))</f>
        <v>RAOUL Jules</v>
      </c>
      <c r="R58" s="190"/>
      <c r="S58" s="191"/>
    </row>
    <row r="59" spans="1:20" s="27" customFormat="1" ht="21.95" customHeight="1" outlineLevel="1" thickBot="1">
      <c r="B59" s="189" t="str">
        <f>IF(Q4="",L7,IF(L8="","",IF(L8&gt;2,L7,IF(R8&gt;2,Q7,""))))</f>
        <v/>
      </c>
      <c r="C59" s="190"/>
      <c r="D59" s="191"/>
      <c r="E59" s="95">
        <v>17</v>
      </c>
      <c r="F59" s="96">
        <v>18</v>
      </c>
      <c r="G59" s="189" t="str">
        <f>IF(L14="",Q17,IF(L18="","",IF(L18&gt;2,L17,IF(R18&gt;2,Q17,""))))</f>
        <v/>
      </c>
      <c r="H59" s="190"/>
      <c r="I59" s="191"/>
      <c r="L59" s="189" t="str">
        <f>IF(Q25="",L28,IF(L29="","",IF(L29&gt;2,L28,IF(R29&gt;2,Q28,""))))</f>
        <v/>
      </c>
      <c r="M59" s="190"/>
      <c r="N59" s="191"/>
      <c r="O59" s="95">
        <v>17</v>
      </c>
      <c r="P59" s="96">
        <v>18</v>
      </c>
      <c r="Q59" s="189" t="str">
        <f>IF(L36="",Q39,IF(L40="","",IF(L40&gt;2,L39,IF(R40&gt;2,Q39,""))))</f>
        <v>EDARD Thibault</v>
      </c>
      <c r="R59" s="190"/>
      <c r="S59" s="191"/>
    </row>
    <row r="60" spans="1:20" ht="21.95" customHeight="1">
      <c r="A60" s="23" t="str">
        <f>IF(D60="","",IF(D60&gt;1,1,0))</f>
        <v/>
      </c>
      <c r="B60" s="183" t="str">
        <f>IF(D60="","",SUM(A60:A64))</f>
        <v/>
      </c>
      <c r="C60" s="192"/>
      <c r="D60" s="59"/>
      <c r="E60" s="214"/>
      <c r="F60" s="215"/>
      <c r="G60" s="59"/>
      <c r="H60" s="182" t="str">
        <f>IF(G60="","",SUM(J60:J64))</f>
        <v/>
      </c>
      <c r="I60" s="183"/>
      <c r="J60" s="29" t="str">
        <f>IF(G60="","",IF(G60&gt;1,1,0))</f>
        <v/>
      </c>
      <c r="K60" s="23">
        <f>IF(N60="","",IF(N60&gt;1,1,0))</f>
        <v>0</v>
      </c>
      <c r="L60" s="183">
        <f>IF(N60="","",SUM(K60:K64))</f>
        <v>0</v>
      </c>
      <c r="M60" s="192"/>
      <c r="N60" s="59">
        <v>0</v>
      </c>
      <c r="O60" s="214"/>
      <c r="P60" s="215"/>
      <c r="Q60" s="59"/>
      <c r="R60" s="182" t="str">
        <f>IF(Q60="","",SUM(T60:T64))</f>
        <v/>
      </c>
      <c r="S60" s="183"/>
      <c r="T60" s="29" t="str">
        <f>IF(Q60="","",IF(Q60&gt;1,1,0))</f>
        <v/>
      </c>
    </row>
    <row r="61" spans="1:20" ht="21.95" customHeight="1">
      <c r="A61" s="23" t="str">
        <f>IF(D61="","",IF(D61&gt;1,1,0))</f>
        <v/>
      </c>
      <c r="B61" s="185"/>
      <c r="C61" s="193"/>
      <c r="D61" s="60"/>
      <c r="E61" s="180"/>
      <c r="F61" s="181"/>
      <c r="G61" s="60"/>
      <c r="H61" s="184"/>
      <c r="I61" s="185"/>
      <c r="J61" s="29" t="str">
        <f>IF(G61="","",IF(G61&gt;1,1,0))</f>
        <v/>
      </c>
      <c r="K61" s="23">
        <f>IF(N61="","",IF(N61&gt;1,1,0))</f>
        <v>0</v>
      </c>
      <c r="L61" s="185"/>
      <c r="M61" s="193"/>
      <c r="N61" s="60">
        <v>0</v>
      </c>
      <c r="O61" s="180"/>
      <c r="P61" s="181"/>
      <c r="Q61" s="60"/>
      <c r="R61" s="184"/>
      <c r="S61" s="185"/>
      <c r="T61" s="29" t="str">
        <f>IF(Q61="","",IF(Q61&gt;1,1,0))</f>
        <v/>
      </c>
    </row>
    <row r="62" spans="1:20" ht="21.95" customHeight="1">
      <c r="A62" s="23" t="str">
        <f>IF(D62="","",IF(D62&gt;1,1,0))</f>
        <v/>
      </c>
      <c r="B62" s="185"/>
      <c r="C62" s="193"/>
      <c r="D62" s="60"/>
      <c r="E62" s="180"/>
      <c r="F62" s="181"/>
      <c r="G62" s="60"/>
      <c r="H62" s="184"/>
      <c r="I62" s="185"/>
      <c r="J62" s="29" t="str">
        <f>IF(G62="","",IF(G62&gt;1,1,0))</f>
        <v/>
      </c>
      <c r="K62" s="23">
        <f>IF(N62="","",IF(N62&gt;1,1,0))</f>
        <v>0</v>
      </c>
      <c r="L62" s="185"/>
      <c r="M62" s="193"/>
      <c r="N62" s="60">
        <v>0</v>
      </c>
      <c r="O62" s="180"/>
      <c r="P62" s="181"/>
      <c r="Q62" s="60"/>
      <c r="R62" s="184"/>
      <c r="S62" s="185"/>
      <c r="T62" s="29" t="str">
        <f>IF(Q62="","",IF(Q62&gt;1,1,0))</f>
        <v/>
      </c>
    </row>
    <row r="63" spans="1:20" ht="21.95" customHeight="1">
      <c r="A63" s="23" t="str">
        <f>IF(D63="","",IF(D63&gt;1,1,0))</f>
        <v/>
      </c>
      <c r="B63" s="185"/>
      <c r="C63" s="193"/>
      <c r="D63" s="60"/>
      <c r="E63" s="180"/>
      <c r="F63" s="181"/>
      <c r="G63" s="60"/>
      <c r="H63" s="184"/>
      <c r="I63" s="185"/>
      <c r="J63" s="29" t="str">
        <f>IF(G63="","",IF(G63&gt;1,1,0))</f>
        <v/>
      </c>
      <c r="K63" s="23" t="str">
        <f>IF(N63="","",IF(N63&gt;1,1,0))</f>
        <v/>
      </c>
      <c r="L63" s="185"/>
      <c r="M63" s="193"/>
      <c r="N63" s="60"/>
      <c r="O63" s="180"/>
      <c r="P63" s="181"/>
      <c r="Q63" s="60"/>
      <c r="R63" s="184"/>
      <c r="S63" s="185"/>
      <c r="T63" s="29" t="str">
        <f>IF(Q63="","",IF(Q63&gt;1,1,0))</f>
        <v/>
      </c>
    </row>
    <row r="64" spans="1:20" ht="21.95" customHeight="1" thickBot="1">
      <c r="A64" s="23" t="str">
        <f>IF(D64="","",IF(D64&gt;1,1,0))</f>
        <v/>
      </c>
      <c r="B64" s="185"/>
      <c r="C64" s="193"/>
      <c r="D64" s="61"/>
      <c r="E64" s="180"/>
      <c r="F64" s="181"/>
      <c r="G64" s="61"/>
      <c r="H64" s="184"/>
      <c r="I64" s="185"/>
      <c r="J64" s="29" t="str">
        <f>IF(G64="","",IF(G64&gt;1,1,0))</f>
        <v/>
      </c>
      <c r="K64" s="23" t="str">
        <f>IF(N64="","",IF(N64&gt;1,1,0))</f>
        <v/>
      </c>
      <c r="L64" s="185"/>
      <c r="M64" s="193"/>
      <c r="N64" s="61"/>
      <c r="O64" s="180"/>
      <c r="P64" s="181"/>
      <c r="Q64" s="61"/>
      <c r="R64" s="184"/>
      <c r="S64" s="185"/>
      <c r="T64" s="29" t="str">
        <f>IF(Q64="","",IF(Q64&gt;1,1,0))</f>
        <v/>
      </c>
    </row>
    <row r="65" spans="1:20" ht="249.95" hidden="1" customHeight="1" outlineLevel="1"/>
    <row r="66" spans="1:20" ht="60" customHeight="1" collapsed="1" thickBot="1">
      <c r="A66" s="179" t="s">
        <v>6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</row>
    <row r="67" spans="1:20" s="28" customFormat="1" ht="27.95" customHeight="1" thickBot="1">
      <c r="B67" s="203" t="str">
        <f>IF(G46="",B46,IF(B50="","",IF(H50="","",IF(B50&gt;2,B46,IF(H50&gt;2,G46,"")))))</f>
        <v>38 TSM</v>
      </c>
      <c r="C67" s="204"/>
      <c r="D67" s="205"/>
      <c r="E67" s="206" t="s">
        <v>11</v>
      </c>
      <c r="F67" s="207"/>
      <c r="G67" s="203" t="str">
        <f>IF(B56="",G56,IF(B60="","",IF(H60="","",IF(B60&gt;2,B56,IF(H60&gt;2,G56,"")))))</f>
        <v/>
      </c>
      <c r="H67" s="204"/>
      <c r="I67" s="205"/>
      <c r="L67" s="203" t="str">
        <f>IF(Q46="",L46,IF(L50="","",IF(R50="","",IF(L50&gt;2,L46,IF(R50&gt;2,Q46,"")))))</f>
        <v>AST MONTALBANAIS</v>
      </c>
      <c r="M67" s="204"/>
      <c r="N67" s="205"/>
      <c r="O67" s="206" t="s">
        <v>11</v>
      </c>
      <c r="P67" s="207"/>
      <c r="Q67" s="203" t="str">
        <f>IF(L56="",Q56,IF(L60="","",IF(R60="","",IF(L60&gt;2,L56,IF(R60&gt;2,Q56,"")))))</f>
        <v>CT ST-GAUDINOIS</v>
      </c>
      <c r="R67" s="204"/>
      <c r="S67" s="205"/>
    </row>
    <row r="68" spans="1:20" s="27" customFormat="1" ht="21.95" customHeight="1" outlineLevel="1">
      <c r="B68" s="200" t="str">
        <f>IF(G46="",B47,IF(B50="","",IF(H50="","",IF(B50&gt;2,B47,IF(H50&gt;2,G47,"")))))</f>
        <v>ESTOR Valentin</v>
      </c>
      <c r="C68" s="201"/>
      <c r="D68" s="202"/>
      <c r="E68" s="99">
        <v>6</v>
      </c>
      <c r="F68" s="100">
        <v>7</v>
      </c>
      <c r="G68" s="200" t="str">
        <f>IF(B56="",G57,IF(B60="","",IF(H60="","",IF(B60&gt;2,B57,IF(H60&gt;2,G57,"")))))</f>
        <v/>
      </c>
      <c r="H68" s="201"/>
      <c r="I68" s="202"/>
      <c r="L68" s="200" t="str">
        <f>IF(Q46="",L47,IF(L50="","",IF(R50="","",IF(L50&gt;2,L47,IF(R50&gt;2,Q47,"")))))</f>
        <v>BOUDEROUA Yamine</v>
      </c>
      <c r="M68" s="201"/>
      <c r="N68" s="202"/>
      <c r="O68" s="101">
        <v>14</v>
      </c>
      <c r="P68" s="102">
        <v>15</v>
      </c>
      <c r="Q68" s="200" t="str">
        <f>IF(L56="",Q57,IF(L60="","",IF(R60="","",IF(L60&gt;2,L57,IF(R60&gt;2,Q57,"")))))</f>
        <v>MORANDINI Evan</v>
      </c>
      <c r="R68" s="201"/>
      <c r="S68" s="202"/>
    </row>
    <row r="69" spans="1:20" s="27" customFormat="1" ht="21.95" customHeight="1" outlineLevel="1">
      <c r="B69" s="200" t="str">
        <f>IF(G46="",B48,IF(B50="","",IF(H50="","",IF(B50&gt;2,B48,IF(H50&gt;2,G48,"")))))</f>
        <v>SAFFON Nathanael</v>
      </c>
      <c r="C69" s="201"/>
      <c r="D69" s="202"/>
      <c r="E69" s="99">
        <v>8</v>
      </c>
      <c r="F69" s="100">
        <v>9</v>
      </c>
      <c r="G69" s="200" t="str">
        <f>IF(B56="",G58,IF(B60="","",IF(H60="","",IF(B60&gt;2,B58,IF(H60&gt;2,G58,"")))))</f>
        <v/>
      </c>
      <c r="H69" s="201"/>
      <c r="I69" s="202"/>
      <c r="L69" s="200" t="str">
        <f>IF(Q46="",L48,IF(L50="","",IF(R50="","",IF(L50&gt;2,L48,IF(R50&gt;2,Q48,"")))))</f>
        <v>BLANC Lena</v>
      </c>
      <c r="M69" s="201"/>
      <c r="N69" s="202"/>
      <c r="O69" s="101">
        <v>16</v>
      </c>
      <c r="P69" s="102">
        <v>17</v>
      </c>
      <c r="Q69" s="200" t="str">
        <f>IF(L56="",Q58,IF(L60="","",IF(R60="","",IF(L60&gt;2,L58,IF(R60&gt;2,Q58,"")))))</f>
        <v>RAOUL Jules</v>
      </c>
      <c r="R69" s="201"/>
      <c r="S69" s="202"/>
    </row>
    <row r="70" spans="1:20" s="27" customFormat="1" ht="21.95" customHeight="1" outlineLevel="1" thickBot="1">
      <c r="B70" s="200" t="str">
        <f>IF(G46="",B49,IF(B50="","",IF(H50="","",IF(B50&gt;2,B49,IF(H50&gt;2,G49,"")))))</f>
        <v>SAVOUREY Victoria</v>
      </c>
      <c r="C70" s="201"/>
      <c r="D70" s="202"/>
      <c r="E70" s="99">
        <v>10</v>
      </c>
      <c r="F70" s="100">
        <v>11</v>
      </c>
      <c r="G70" s="200" t="str">
        <f>IF(B56="",G59,IF(B60="","",IF(H60="","",IF(B60&gt;2,B59,IF(H60&gt;2,G59,"")))))</f>
        <v/>
      </c>
      <c r="H70" s="201"/>
      <c r="I70" s="202"/>
      <c r="L70" s="200" t="str">
        <f>IF(Q46="",L49,IF(L50="","",IF(R50="","",IF(L50&gt;2,L49,IF(R50&gt;2,Q49,"")))))</f>
        <v>PECHMEJA Loan</v>
      </c>
      <c r="M70" s="201"/>
      <c r="N70" s="202"/>
      <c r="O70" s="101">
        <v>18</v>
      </c>
      <c r="P70" s="102">
        <v>19</v>
      </c>
      <c r="Q70" s="200" t="str">
        <f>IF(L56="",Q59,IF(L60="","",IF(R60="","",IF(L60&gt;2,L59,IF(R60&gt;2,Q59,"")))))</f>
        <v>EDARD Thibault</v>
      </c>
      <c r="R70" s="201"/>
      <c r="S70" s="202"/>
    </row>
    <row r="71" spans="1:20" ht="21.95" customHeight="1">
      <c r="A71" s="23" t="str">
        <f>IF(D71="","",IF(D71&gt;1,1,0))</f>
        <v/>
      </c>
      <c r="B71" s="183" t="str">
        <f>IF(D71="","",SUM(A71:A77))</f>
        <v/>
      </c>
      <c r="C71" s="192"/>
      <c r="D71" s="59"/>
      <c r="E71" s="214"/>
      <c r="F71" s="215"/>
      <c r="G71" s="59"/>
      <c r="H71" s="182" t="str">
        <f>IF(G71="","",SUM(J71:J77))</f>
        <v/>
      </c>
      <c r="I71" s="183"/>
      <c r="J71" s="29" t="str">
        <f>IF(G71="","",IF(G71&gt;1,1,0))</f>
        <v/>
      </c>
      <c r="K71" s="23">
        <f>IF(N71="","",IF(N71&gt;1,1,0))</f>
        <v>0</v>
      </c>
      <c r="L71" s="183">
        <f>IF(N71="","",SUM(K71:K77))</f>
        <v>4</v>
      </c>
      <c r="M71" s="192"/>
      <c r="N71" s="59">
        <v>1</v>
      </c>
      <c r="O71" s="214"/>
      <c r="P71" s="215"/>
      <c r="Q71" s="59">
        <v>2</v>
      </c>
      <c r="R71" s="182">
        <f>IF(Q71="","",SUM(T71:T77))</f>
        <v>2</v>
      </c>
      <c r="S71" s="183"/>
      <c r="T71" s="29">
        <f>IF(Q71="","",IF(Q71&gt;1,1,0))</f>
        <v>1</v>
      </c>
    </row>
    <row r="72" spans="1:20" ht="21.95" customHeight="1">
      <c r="A72" s="23" t="str">
        <f t="shared" ref="A72:A77" si="0">IF(D72="","",IF(D72&gt;1,1,0))</f>
        <v/>
      </c>
      <c r="B72" s="185"/>
      <c r="C72" s="193"/>
      <c r="D72" s="60"/>
      <c r="E72" s="180"/>
      <c r="F72" s="181"/>
      <c r="G72" s="60"/>
      <c r="H72" s="184"/>
      <c r="I72" s="185"/>
      <c r="J72" s="29" t="str">
        <f t="shared" ref="J72:J77" si="1">IF(G72="","",IF(G72&gt;1,1,0))</f>
        <v/>
      </c>
      <c r="K72" s="23">
        <f t="shared" ref="K72:K77" si="2">IF(N72="","",IF(N72&gt;1,1,0))</f>
        <v>1</v>
      </c>
      <c r="L72" s="185"/>
      <c r="M72" s="193"/>
      <c r="N72" s="60">
        <v>3</v>
      </c>
      <c r="O72" s="180"/>
      <c r="P72" s="181"/>
      <c r="Q72" s="60">
        <v>0</v>
      </c>
      <c r="R72" s="184"/>
      <c r="S72" s="185"/>
      <c r="T72" s="29">
        <f t="shared" ref="T72:T77" si="3">IF(Q72="","",IF(Q72&gt;1,1,0))</f>
        <v>0</v>
      </c>
    </row>
    <row r="73" spans="1:20" ht="21.95" customHeight="1">
      <c r="A73" s="23" t="str">
        <f t="shared" si="0"/>
        <v/>
      </c>
      <c r="B73" s="185"/>
      <c r="C73" s="193"/>
      <c r="D73" s="60"/>
      <c r="E73" s="180"/>
      <c r="F73" s="181"/>
      <c r="G73" s="60"/>
      <c r="H73" s="184"/>
      <c r="I73" s="185"/>
      <c r="J73" s="29" t="str">
        <f t="shared" si="1"/>
        <v/>
      </c>
      <c r="K73" s="23">
        <f t="shared" si="2"/>
        <v>1</v>
      </c>
      <c r="L73" s="185"/>
      <c r="M73" s="193"/>
      <c r="N73" s="60">
        <v>2</v>
      </c>
      <c r="O73" s="180"/>
      <c r="P73" s="181"/>
      <c r="Q73" s="60">
        <v>1</v>
      </c>
      <c r="R73" s="184"/>
      <c r="S73" s="185"/>
      <c r="T73" s="29">
        <f t="shared" si="3"/>
        <v>0</v>
      </c>
    </row>
    <row r="74" spans="1:20" ht="21.95" customHeight="1">
      <c r="A74" s="23" t="str">
        <f t="shared" si="0"/>
        <v/>
      </c>
      <c r="B74" s="185"/>
      <c r="C74" s="193"/>
      <c r="D74" s="60"/>
      <c r="E74" s="180"/>
      <c r="F74" s="181"/>
      <c r="G74" s="60"/>
      <c r="H74" s="184"/>
      <c r="I74" s="185"/>
      <c r="J74" s="29" t="str">
        <f t="shared" si="1"/>
        <v/>
      </c>
      <c r="K74" s="23">
        <f t="shared" si="2"/>
        <v>0</v>
      </c>
      <c r="L74" s="185"/>
      <c r="M74" s="193"/>
      <c r="N74" s="60">
        <v>1</v>
      </c>
      <c r="O74" s="180"/>
      <c r="P74" s="181"/>
      <c r="Q74" s="60">
        <v>2</v>
      </c>
      <c r="R74" s="184"/>
      <c r="S74" s="185"/>
      <c r="T74" s="29">
        <f t="shared" si="3"/>
        <v>1</v>
      </c>
    </row>
    <row r="75" spans="1:20" ht="21.95" customHeight="1">
      <c r="A75" s="23" t="str">
        <f t="shared" si="0"/>
        <v/>
      </c>
      <c r="B75" s="185"/>
      <c r="C75" s="193"/>
      <c r="D75" s="60"/>
      <c r="E75" s="180"/>
      <c r="F75" s="181"/>
      <c r="G75" s="60"/>
      <c r="H75" s="184"/>
      <c r="I75" s="185"/>
      <c r="J75" s="29" t="str">
        <f t="shared" si="1"/>
        <v/>
      </c>
      <c r="K75" s="23">
        <f t="shared" si="2"/>
        <v>1</v>
      </c>
      <c r="L75" s="185"/>
      <c r="M75" s="193"/>
      <c r="N75" s="60">
        <v>2</v>
      </c>
      <c r="O75" s="180"/>
      <c r="P75" s="181"/>
      <c r="Q75" s="60">
        <v>1</v>
      </c>
      <c r="R75" s="184"/>
      <c r="S75" s="185"/>
      <c r="T75" s="29">
        <f t="shared" si="3"/>
        <v>0</v>
      </c>
    </row>
    <row r="76" spans="1:20" ht="21.95" customHeight="1">
      <c r="A76" s="23" t="str">
        <f t="shared" si="0"/>
        <v/>
      </c>
      <c r="B76" s="185"/>
      <c r="C76" s="193"/>
      <c r="D76" s="60"/>
      <c r="E76" s="180"/>
      <c r="F76" s="181"/>
      <c r="G76" s="60"/>
      <c r="H76" s="184"/>
      <c r="I76" s="185"/>
      <c r="J76" s="29" t="str">
        <f t="shared" si="1"/>
        <v/>
      </c>
      <c r="K76" s="23">
        <f t="shared" si="2"/>
        <v>1</v>
      </c>
      <c r="L76" s="185"/>
      <c r="M76" s="193"/>
      <c r="N76" s="60">
        <v>2</v>
      </c>
      <c r="O76" s="180"/>
      <c r="P76" s="181"/>
      <c r="Q76" s="60">
        <v>1</v>
      </c>
      <c r="R76" s="184"/>
      <c r="S76" s="185"/>
      <c r="T76" s="29">
        <f t="shared" si="3"/>
        <v>0</v>
      </c>
    </row>
    <row r="77" spans="1:20" ht="21.95" customHeight="1" thickBot="1">
      <c r="A77" s="23" t="str">
        <f t="shared" si="0"/>
        <v/>
      </c>
      <c r="B77" s="185"/>
      <c r="C77" s="193"/>
      <c r="D77" s="61"/>
      <c r="E77" s="180"/>
      <c r="F77" s="181"/>
      <c r="G77" s="61"/>
      <c r="H77" s="184"/>
      <c r="I77" s="185"/>
      <c r="J77" s="29" t="str">
        <f t="shared" si="1"/>
        <v/>
      </c>
      <c r="K77" s="23" t="str">
        <f t="shared" si="2"/>
        <v/>
      </c>
      <c r="L77" s="185"/>
      <c r="M77" s="193"/>
      <c r="N77" s="61"/>
      <c r="O77" s="180"/>
      <c r="P77" s="181"/>
      <c r="Q77" s="61"/>
      <c r="R77" s="184"/>
      <c r="S77" s="185"/>
      <c r="T77" s="29" t="str">
        <f t="shared" si="3"/>
        <v/>
      </c>
    </row>
    <row r="78" spans="1:20" ht="327" hidden="1" customHeight="1" outlineLevel="1"/>
    <row r="79" spans="1:20" ht="51" customHeight="1" collapsed="1" thickBot="1">
      <c r="G79" s="234" t="s">
        <v>16</v>
      </c>
      <c r="H79" s="234"/>
      <c r="I79" s="234"/>
      <c r="J79" s="234"/>
      <c r="K79" s="234"/>
      <c r="L79" s="234"/>
      <c r="M79" s="234"/>
      <c r="N79" s="234"/>
      <c r="O79" s="22"/>
    </row>
    <row r="80" spans="1:20" s="28" customFormat="1" ht="27.95" customHeight="1" thickBot="1">
      <c r="G80" s="216" t="str">
        <f>IF(G67="","",IF(B71="","",IF(H71="","",IF(B71&gt;3,G67,IF(H71&gt;3,B67,"")))))</f>
        <v/>
      </c>
      <c r="H80" s="217"/>
      <c r="I80" s="218"/>
      <c r="J80" s="206" t="s">
        <v>11</v>
      </c>
      <c r="K80" s="207"/>
      <c r="L80" s="216" t="str">
        <f>IF(L67="","",IF(L71="","",IF(R71="","",IF(L71&gt;3,Q67,IF(R71&gt;3,L67,"")))))</f>
        <v>CT ST-GAUDINOIS</v>
      </c>
      <c r="M80" s="217"/>
      <c r="N80" s="218"/>
    </row>
    <row r="81" spans="6:15" s="27" customFormat="1" ht="21.95" customHeight="1" outlineLevel="1">
      <c r="G81" s="186" t="str">
        <f>IF(G67="","",IF(B71="","",IF(H71="","",IF(B71&gt;3,G68,IF(H71&gt;3,B68,"")))))</f>
        <v/>
      </c>
      <c r="H81" s="187"/>
      <c r="I81" s="188"/>
      <c r="J81" s="103">
        <v>6</v>
      </c>
      <c r="K81" s="104">
        <v>7</v>
      </c>
      <c r="L81" s="186" t="str">
        <f>IF(L67="","",IF(L71="","",IF(R71="","",IF(L71&gt;3,Q68,IF(R71&gt;3,L68,"")))))</f>
        <v>MORANDINI Evan</v>
      </c>
      <c r="M81" s="187"/>
      <c r="N81" s="188"/>
    </row>
    <row r="82" spans="6:15" s="27" customFormat="1" ht="21.95" customHeight="1" outlineLevel="1">
      <c r="G82" s="186" t="str">
        <f>IF(G67="","",IF(B71="","",IF(H71="","",IF(B71&gt;3,G69,IF(H71&gt;3,B69,"")))))</f>
        <v/>
      </c>
      <c r="H82" s="187"/>
      <c r="I82" s="188"/>
      <c r="J82" s="103">
        <v>8</v>
      </c>
      <c r="K82" s="104">
        <v>9</v>
      </c>
      <c r="L82" s="186" t="str">
        <f>IF(L67="","",IF(L71="","",IF(R71="","",IF(L71&gt;3,Q69,IF(R71&gt;3,L69,"")))))</f>
        <v>RAOUL Jules</v>
      </c>
      <c r="M82" s="187"/>
      <c r="N82" s="188"/>
    </row>
    <row r="83" spans="6:15" s="27" customFormat="1" ht="21.95" customHeight="1" outlineLevel="1" thickBot="1">
      <c r="G83" s="186" t="str">
        <f>IF(G67="","",IF(B71="","",IF(H71="","",IF(B71&gt;3,G70,IF(H71&gt;3,B70,"")))))</f>
        <v/>
      </c>
      <c r="H83" s="187"/>
      <c r="I83" s="188"/>
      <c r="J83" s="103">
        <v>10</v>
      </c>
      <c r="K83" s="104">
        <v>11</v>
      </c>
      <c r="L83" s="186" t="str">
        <f>IF(L67="","",IF(L71="","",IF(R71="","",IF(L71&gt;3,Q70,IF(R71&gt;3,L70,"")))))</f>
        <v>EDARD Thibault</v>
      </c>
      <c r="M83" s="187"/>
      <c r="N83" s="188"/>
    </row>
    <row r="84" spans="6:15" ht="21.95" customHeight="1">
      <c r="F84" s="23" t="str">
        <f>IF(I84="","",IF(I84&gt;1,1,0))</f>
        <v/>
      </c>
      <c r="G84" s="183" t="str">
        <f>IF(I84="","",SUM(F84:F90))</f>
        <v/>
      </c>
      <c r="H84" s="192"/>
      <c r="I84" s="59"/>
      <c r="J84" s="214"/>
      <c r="K84" s="215"/>
      <c r="L84" s="59"/>
      <c r="M84" s="182" t="str">
        <f>IF(L84="","",SUM(O84:O90))</f>
        <v/>
      </c>
      <c r="N84" s="183"/>
      <c r="O84" s="29" t="str">
        <f>IF(L84="","",IF(L84&gt;1,1,0))</f>
        <v/>
      </c>
    </row>
    <row r="85" spans="6:15" ht="21.95" customHeight="1">
      <c r="F85" s="23" t="str">
        <f t="shared" ref="F85:F90" si="4">IF(I85="","",IF(I85&gt;1,1,0))</f>
        <v/>
      </c>
      <c r="G85" s="185"/>
      <c r="H85" s="193"/>
      <c r="I85" s="60"/>
      <c r="J85" s="180"/>
      <c r="K85" s="181"/>
      <c r="L85" s="60"/>
      <c r="M85" s="184"/>
      <c r="N85" s="185"/>
      <c r="O85" s="29" t="str">
        <f t="shared" ref="O85:O90" si="5">IF(L85="","",IF(L85&gt;1,1,0))</f>
        <v/>
      </c>
    </row>
    <row r="86" spans="6:15" ht="21.95" customHeight="1">
      <c r="F86" s="23" t="str">
        <f t="shared" si="4"/>
        <v/>
      </c>
      <c r="G86" s="185"/>
      <c r="H86" s="193"/>
      <c r="I86" s="60"/>
      <c r="J86" s="180"/>
      <c r="K86" s="181"/>
      <c r="L86" s="60"/>
      <c r="M86" s="184"/>
      <c r="N86" s="185"/>
      <c r="O86" s="29" t="str">
        <f t="shared" si="5"/>
        <v/>
      </c>
    </row>
    <row r="87" spans="6:15" ht="21.95" customHeight="1">
      <c r="F87" s="23" t="str">
        <f t="shared" si="4"/>
        <v/>
      </c>
      <c r="G87" s="185"/>
      <c r="H87" s="193"/>
      <c r="I87" s="60"/>
      <c r="J87" s="180"/>
      <c r="K87" s="181"/>
      <c r="L87" s="60"/>
      <c r="M87" s="184"/>
      <c r="N87" s="185"/>
      <c r="O87" s="29" t="str">
        <f t="shared" si="5"/>
        <v/>
      </c>
    </row>
    <row r="88" spans="6:15" ht="21.95" customHeight="1">
      <c r="F88" s="23" t="str">
        <f t="shared" si="4"/>
        <v/>
      </c>
      <c r="G88" s="185"/>
      <c r="H88" s="193"/>
      <c r="I88" s="60"/>
      <c r="J88" s="180"/>
      <c r="K88" s="181"/>
      <c r="L88" s="60"/>
      <c r="M88" s="184"/>
      <c r="N88" s="185"/>
      <c r="O88" s="29" t="str">
        <f t="shared" si="5"/>
        <v/>
      </c>
    </row>
    <row r="89" spans="6:15" ht="21.95" customHeight="1">
      <c r="F89" s="23" t="str">
        <f t="shared" si="4"/>
        <v/>
      </c>
      <c r="G89" s="185"/>
      <c r="H89" s="193"/>
      <c r="I89" s="60"/>
      <c r="J89" s="180"/>
      <c r="K89" s="181"/>
      <c r="L89" s="60"/>
      <c r="M89" s="184"/>
      <c r="N89" s="185"/>
      <c r="O89" s="29" t="str">
        <f t="shared" si="5"/>
        <v/>
      </c>
    </row>
    <row r="90" spans="6:15" ht="21.95" customHeight="1" thickBot="1">
      <c r="F90" s="23" t="str">
        <f t="shared" si="4"/>
        <v/>
      </c>
      <c r="G90" s="185"/>
      <c r="H90" s="193"/>
      <c r="I90" s="61"/>
      <c r="J90" s="180"/>
      <c r="K90" s="181"/>
      <c r="L90" s="61"/>
      <c r="M90" s="184"/>
      <c r="N90" s="185"/>
      <c r="O90" s="29" t="str">
        <f t="shared" si="5"/>
        <v/>
      </c>
    </row>
    <row r="91" spans="6:15" ht="15" customHeight="1"/>
    <row r="92" spans="6:15" ht="60" customHeight="1">
      <c r="F92" s="22"/>
      <c r="G92" s="179" t="s">
        <v>19</v>
      </c>
      <c r="H92" s="179"/>
      <c r="I92" s="179"/>
      <c r="J92" s="179"/>
      <c r="K92" s="179"/>
      <c r="L92" s="179"/>
      <c r="M92" s="179"/>
      <c r="N92" s="179"/>
    </row>
    <row r="93" spans="6:15" ht="27.95" customHeight="1" thickBot="1">
      <c r="F93" s="22"/>
      <c r="G93" s="22"/>
      <c r="H93" s="22"/>
      <c r="I93" s="22"/>
      <c r="J93" s="22"/>
      <c r="K93" s="22"/>
      <c r="L93" s="22"/>
      <c r="M93" s="22"/>
      <c r="N93" s="22"/>
    </row>
    <row r="94" spans="6:15" ht="27.95" customHeight="1" thickBot="1">
      <c r="F94" s="28"/>
      <c r="G94" s="211" t="str">
        <f>IF(G67="",B67,IF(B71="","",IF(H71="","",IF(B71&gt;3,B67,IF(H71&gt;3,G67,"")))))</f>
        <v>38 TSM</v>
      </c>
      <c r="H94" s="212"/>
      <c r="I94" s="213"/>
      <c r="J94" s="206" t="s">
        <v>11</v>
      </c>
      <c r="K94" s="207"/>
      <c r="L94" s="211" t="str">
        <f>IF(L67="",Q67,IF(L71="","",IF(R71="","",IF(L71&gt;3,L67,IF(R71&gt;3,Q67,"")))))</f>
        <v>AST MONTALBANAIS</v>
      </c>
      <c r="M94" s="212"/>
      <c r="N94" s="213"/>
      <c r="O94" s="28"/>
    </row>
    <row r="95" spans="6:15" ht="20.100000000000001" customHeight="1" outlineLevel="1">
      <c r="F95" s="27"/>
      <c r="G95" s="208" t="str">
        <f>IF(G67="",B68,IF(B71="","",IF(H71="","",IF(B71&gt;3,B68,IF(H71&gt;3,G68,"")))))</f>
        <v>ESTOR Valentin</v>
      </c>
      <c r="H95" s="209"/>
      <c r="I95" s="210"/>
      <c r="J95" s="105">
        <v>14</v>
      </c>
      <c r="K95" s="106">
        <v>15</v>
      </c>
      <c r="L95" s="208" t="str">
        <f>IF(L67="",Q68,IF(L71="","",IF(R71="","",IF(L71&gt;3,L68,IF(R71&gt;3,Q68,"")))))</f>
        <v>BOUDEROUA Yamine</v>
      </c>
      <c r="M95" s="209"/>
      <c r="N95" s="210"/>
      <c r="O95" s="27"/>
    </row>
    <row r="96" spans="6:15" ht="20.100000000000001" customHeight="1" outlineLevel="1">
      <c r="F96" s="27"/>
      <c r="G96" s="208" t="str">
        <f>IF(G67="",B69,IF(B71="","",IF(H71="","",IF(B71&gt;3,B69,IF(H71&gt;3,G69,"")))))</f>
        <v>SAFFON Nathanael</v>
      </c>
      <c r="H96" s="209"/>
      <c r="I96" s="210"/>
      <c r="J96" s="105">
        <v>16</v>
      </c>
      <c r="K96" s="106">
        <v>17</v>
      </c>
      <c r="L96" s="208" t="str">
        <f>IF(L67="",Q69,IF(L71="","",IF(R71="","",IF(L71&gt;3,L69,IF(R71&gt;3,Q69,"")))))</f>
        <v>BLANC Lena</v>
      </c>
      <c r="M96" s="209"/>
      <c r="N96" s="210"/>
      <c r="O96" s="27"/>
    </row>
    <row r="97" spans="6:15" ht="20.100000000000001" customHeight="1" outlineLevel="1" thickBot="1">
      <c r="F97" s="27"/>
      <c r="G97" s="208" t="str">
        <f>IF(G67="",B70,IF(B71="","",IF(H71="","",IF(B71&gt;3,B70,IF(H71&gt;3,G70,"")))))</f>
        <v>SAVOUREY Victoria</v>
      </c>
      <c r="H97" s="209"/>
      <c r="I97" s="210"/>
      <c r="J97" s="105">
        <v>18</v>
      </c>
      <c r="K97" s="106">
        <v>19</v>
      </c>
      <c r="L97" s="208" t="str">
        <f>IF(L67="",Q70,IF(L71="","",IF(R71="","",IF(L71&gt;3,L70,IF(R71&gt;3,Q70,"")))))</f>
        <v>PECHMEJA Loan</v>
      </c>
      <c r="M97" s="209"/>
      <c r="N97" s="210"/>
      <c r="O97" s="27"/>
    </row>
    <row r="98" spans="6:15" ht="21.95" customHeight="1">
      <c r="F98" s="23">
        <f>IF(I98="","",IF(I98&gt;1,1,0))</f>
        <v>1</v>
      </c>
      <c r="G98" s="183">
        <f>IF(I98="","",SUM(F98:F104))</f>
        <v>4</v>
      </c>
      <c r="H98" s="192"/>
      <c r="I98" s="59">
        <v>2</v>
      </c>
      <c r="J98" s="214"/>
      <c r="K98" s="215"/>
      <c r="L98" s="59">
        <v>1</v>
      </c>
      <c r="M98" s="182">
        <f>IF(L98="","",SUM(O98:O104))</f>
        <v>2</v>
      </c>
      <c r="N98" s="183"/>
      <c r="O98" s="29">
        <f>IF(L98="","",IF(L98&gt;1,1,0))</f>
        <v>0</v>
      </c>
    </row>
    <row r="99" spans="6:15" ht="21.95" customHeight="1">
      <c r="F99" s="23">
        <f t="shared" ref="F99:F104" si="6">IF(I99="","",IF(I99&gt;1,1,0))</f>
        <v>1</v>
      </c>
      <c r="G99" s="185"/>
      <c r="H99" s="193"/>
      <c r="I99" s="60">
        <v>2</v>
      </c>
      <c r="J99" s="180"/>
      <c r="K99" s="181"/>
      <c r="L99" s="60">
        <v>1</v>
      </c>
      <c r="M99" s="184"/>
      <c r="N99" s="185"/>
      <c r="O99" s="29">
        <f t="shared" ref="O99:O104" si="7">IF(L99="","",IF(L99&gt;1,1,0))</f>
        <v>0</v>
      </c>
    </row>
    <row r="100" spans="6:15" ht="21.95" customHeight="1">
      <c r="F100" s="23">
        <f t="shared" si="6"/>
        <v>1</v>
      </c>
      <c r="G100" s="185"/>
      <c r="H100" s="193"/>
      <c r="I100" s="60">
        <v>2</v>
      </c>
      <c r="J100" s="180"/>
      <c r="K100" s="181"/>
      <c r="L100" s="60">
        <v>1</v>
      </c>
      <c r="M100" s="184"/>
      <c r="N100" s="185"/>
      <c r="O100" s="29">
        <f t="shared" si="7"/>
        <v>0</v>
      </c>
    </row>
    <row r="101" spans="6:15" ht="21.95" customHeight="1">
      <c r="F101" s="23">
        <f t="shared" si="6"/>
        <v>0</v>
      </c>
      <c r="G101" s="185"/>
      <c r="H101" s="193"/>
      <c r="I101" s="60">
        <v>1</v>
      </c>
      <c r="J101" s="180"/>
      <c r="K101" s="181"/>
      <c r="L101" s="60">
        <v>2</v>
      </c>
      <c r="M101" s="184"/>
      <c r="N101" s="185"/>
      <c r="O101" s="29">
        <f t="shared" si="7"/>
        <v>1</v>
      </c>
    </row>
    <row r="102" spans="6:15" ht="21.95" customHeight="1">
      <c r="F102" s="23">
        <f t="shared" si="6"/>
        <v>0</v>
      </c>
      <c r="G102" s="185"/>
      <c r="H102" s="193"/>
      <c r="I102" s="60">
        <v>1</v>
      </c>
      <c r="J102" s="180"/>
      <c r="K102" s="181"/>
      <c r="L102" s="60">
        <v>2</v>
      </c>
      <c r="M102" s="184"/>
      <c r="N102" s="185"/>
      <c r="O102" s="29">
        <f t="shared" si="7"/>
        <v>1</v>
      </c>
    </row>
    <row r="103" spans="6:15" ht="21.95" customHeight="1">
      <c r="F103" s="23">
        <f t="shared" si="6"/>
        <v>1</v>
      </c>
      <c r="G103" s="185"/>
      <c r="H103" s="193"/>
      <c r="I103" s="60">
        <v>2</v>
      </c>
      <c r="J103" s="180"/>
      <c r="K103" s="181"/>
      <c r="L103" s="60">
        <v>1</v>
      </c>
      <c r="M103" s="184"/>
      <c r="N103" s="185"/>
      <c r="O103" s="29">
        <f t="shared" si="7"/>
        <v>0</v>
      </c>
    </row>
    <row r="104" spans="6:15" ht="21.95" customHeight="1" thickBot="1">
      <c r="F104" s="23" t="str">
        <f t="shared" si="6"/>
        <v/>
      </c>
      <c r="G104" s="185"/>
      <c r="H104" s="193"/>
      <c r="I104" s="61"/>
      <c r="J104" s="180"/>
      <c r="K104" s="181"/>
      <c r="L104" s="61"/>
      <c r="M104" s="184"/>
      <c r="N104" s="185"/>
      <c r="O104" s="29" t="str">
        <f t="shared" si="7"/>
        <v/>
      </c>
    </row>
  </sheetData>
  <sheetProtection password="CF6D" sheet="1" objects="1" scenarios="1" formatColumns="0" selectLockedCells="1"/>
  <mergeCells count="271">
    <mergeCell ref="O75:P75"/>
    <mergeCell ref="O76:P76"/>
    <mergeCell ref="O77:P77"/>
    <mergeCell ref="J94:K94"/>
    <mergeCell ref="J98:K98"/>
    <mergeCell ref="J99:K99"/>
    <mergeCell ref="J100:K100"/>
    <mergeCell ref="J101:K101"/>
    <mergeCell ref="J80:K80"/>
    <mergeCell ref="G79:N79"/>
    <mergeCell ref="J88:K88"/>
    <mergeCell ref="J89:K89"/>
    <mergeCell ref="G81:I81"/>
    <mergeCell ref="L81:N81"/>
    <mergeCell ref="G80:I80"/>
    <mergeCell ref="L96:N96"/>
    <mergeCell ref="L94:N94"/>
    <mergeCell ref="G82:I82"/>
    <mergeCell ref="L82:N82"/>
    <mergeCell ref="G83:I83"/>
    <mergeCell ref="G95:I95"/>
    <mergeCell ref="O64:P64"/>
    <mergeCell ref="E71:F71"/>
    <mergeCell ref="E72:F72"/>
    <mergeCell ref="E73:F73"/>
    <mergeCell ref="O71:P71"/>
    <mergeCell ref="O72:P72"/>
    <mergeCell ref="O73:P73"/>
    <mergeCell ref="E64:F64"/>
    <mergeCell ref="O67:P67"/>
    <mergeCell ref="G67:I67"/>
    <mergeCell ref="L67:N67"/>
    <mergeCell ref="O61:P61"/>
    <mergeCell ref="O62:P62"/>
    <mergeCell ref="O63:P63"/>
    <mergeCell ref="O44:P44"/>
    <mergeCell ref="L56:N56"/>
    <mergeCell ref="O56:P56"/>
    <mergeCell ref="O54:P54"/>
    <mergeCell ref="L59:N59"/>
    <mergeCell ref="O46:P46"/>
    <mergeCell ref="L47:N47"/>
    <mergeCell ref="O60:P60"/>
    <mergeCell ref="Q59:S59"/>
    <mergeCell ref="Q48:S48"/>
    <mergeCell ref="Q49:S49"/>
    <mergeCell ref="G48:I48"/>
    <mergeCell ref="Q39:S39"/>
    <mergeCell ref="Q47:S47"/>
    <mergeCell ref="Q46:S46"/>
    <mergeCell ref="G46:I46"/>
    <mergeCell ref="L46:N46"/>
    <mergeCell ref="Q57:S57"/>
    <mergeCell ref="L57:N57"/>
    <mergeCell ref="O51:P51"/>
    <mergeCell ref="O52:P52"/>
    <mergeCell ref="O53:P53"/>
    <mergeCell ref="R50:S54"/>
    <mergeCell ref="A45:T45"/>
    <mergeCell ref="B39:D39"/>
    <mergeCell ref="O41:P41"/>
    <mergeCell ref="L39:N39"/>
    <mergeCell ref="Q56:S56"/>
    <mergeCell ref="O50:P50"/>
    <mergeCell ref="L48:N48"/>
    <mergeCell ref="R40:S44"/>
    <mergeCell ref="G47:I47"/>
    <mergeCell ref="E4:F4"/>
    <mergeCell ref="E32:F32"/>
    <mergeCell ref="E33:F33"/>
    <mergeCell ref="B36:D36"/>
    <mergeCell ref="G36:I36"/>
    <mergeCell ref="E30:F30"/>
    <mergeCell ref="E31:F31"/>
    <mergeCell ref="B48:D48"/>
    <mergeCell ref="E40:F40"/>
    <mergeCell ref="B47:D47"/>
    <mergeCell ref="E29:F29"/>
    <mergeCell ref="B46:D46"/>
    <mergeCell ref="E46:F46"/>
    <mergeCell ref="A24:T24"/>
    <mergeCell ref="Q26:S26"/>
    <mergeCell ref="Q25:S25"/>
    <mergeCell ref="H40:I44"/>
    <mergeCell ref="E42:F42"/>
    <mergeCell ref="E43:F43"/>
    <mergeCell ref="G38:I38"/>
    <mergeCell ref="L29:M33"/>
    <mergeCell ref="L38:N38"/>
    <mergeCell ref="O12:P12"/>
    <mergeCell ref="O18:P18"/>
    <mergeCell ref="Q37:S37"/>
    <mergeCell ref="O32:P32"/>
    <mergeCell ref="O33:P33"/>
    <mergeCell ref="G27:I27"/>
    <mergeCell ref="L27:N27"/>
    <mergeCell ref="Q27:S27"/>
    <mergeCell ref="O25:P25"/>
    <mergeCell ref="O22:P22"/>
    <mergeCell ref="O20:P20"/>
    <mergeCell ref="O21:P21"/>
    <mergeCell ref="H18:I22"/>
    <mergeCell ref="L18:M22"/>
    <mergeCell ref="R18:S22"/>
    <mergeCell ref="Q38:S38"/>
    <mergeCell ref="Q28:S28"/>
    <mergeCell ref="B29:C33"/>
    <mergeCell ref="B40:C44"/>
    <mergeCell ref="H29:I33"/>
    <mergeCell ref="B28:D28"/>
    <mergeCell ref="G28:I28"/>
    <mergeCell ref="L28:N28"/>
    <mergeCell ref="B27:D27"/>
    <mergeCell ref="O42:P42"/>
    <mergeCell ref="G39:I39"/>
    <mergeCell ref="O43:P43"/>
    <mergeCell ref="E44:F44"/>
    <mergeCell ref="E41:F41"/>
    <mergeCell ref="O40:P40"/>
    <mergeCell ref="L40:M44"/>
    <mergeCell ref="G37:I37"/>
    <mergeCell ref="L37:N37"/>
    <mergeCell ref="R29:S33"/>
    <mergeCell ref="Q36:S36"/>
    <mergeCell ref="O36:P36"/>
    <mergeCell ref="O29:P29"/>
    <mergeCell ref="O30:P30"/>
    <mergeCell ref="O31:P31"/>
    <mergeCell ref="E18:F18"/>
    <mergeCell ref="G25:I25"/>
    <mergeCell ref="O14:P14"/>
    <mergeCell ref="E14:F14"/>
    <mergeCell ref="E21:F21"/>
    <mergeCell ref="E22:F22"/>
    <mergeCell ref="Q15:S15"/>
    <mergeCell ref="G16:I16"/>
    <mergeCell ref="L16:N16"/>
    <mergeCell ref="Q16:S16"/>
    <mergeCell ref="G17:I17"/>
    <mergeCell ref="L17:N17"/>
    <mergeCell ref="E19:F19"/>
    <mergeCell ref="E20:F20"/>
    <mergeCell ref="O19:P19"/>
    <mergeCell ref="B59:D59"/>
    <mergeCell ref="G59:I59"/>
    <mergeCell ref="G14:I14"/>
    <mergeCell ref="E54:F54"/>
    <mergeCell ref="O8:P8"/>
    <mergeCell ref="O9:P9"/>
    <mergeCell ref="O10:P10"/>
    <mergeCell ref="O11:P11"/>
    <mergeCell ref="B14:D14"/>
    <mergeCell ref="B56:D56"/>
    <mergeCell ref="B16:D16"/>
    <mergeCell ref="E10:F10"/>
    <mergeCell ref="E11:F11"/>
    <mergeCell ref="E12:F12"/>
    <mergeCell ref="B8:C12"/>
    <mergeCell ref="E8:F8"/>
    <mergeCell ref="H8:I12"/>
    <mergeCell ref="E9:F9"/>
    <mergeCell ref="E50:F50"/>
    <mergeCell ref="G49:I49"/>
    <mergeCell ref="B15:D15"/>
    <mergeCell ref="G15:I15"/>
    <mergeCell ref="L15:N15"/>
    <mergeCell ref="L25:N25"/>
    <mergeCell ref="B5:D5"/>
    <mergeCell ref="G58:I58"/>
    <mergeCell ref="L49:N49"/>
    <mergeCell ref="B50:C54"/>
    <mergeCell ref="H50:I54"/>
    <mergeCell ref="B49:D49"/>
    <mergeCell ref="L58:N58"/>
    <mergeCell ref="B57:D57"/>
    <mergeCell ref="G57:I57"/>
    <mergeCell ref="G5:I5"/>
    <mergeCell ref="B7:D7"/>
    <mergeCell ref="G7:I7"/>
    <mergeCell ref="B6:D6"/>
    <mergeCell ref="G6:I6"/>
    <mergeCell ref="L6:N6"/>
    <mergeCell ref="B26:D26"/>
    <mergeCell ref="G26:I26"/>
    <mergeCell ref="E25:F25"/>
    <mergeCell ref="B58:D58"/>
    <mergeCell ref="G56:I56"/>
    <mergeCell ref="E51:F51"/>
    <mergeCell ref="E52:F52"/>
    <mergeCell ref="E53:F53"/>
    <mergeCell ref="E56:F56"/>
    <mergeCell ref="E75:F75"/>
    <mergeCell ref="L71:M77"/>
    <mergeCell ref="E76:F76"/>
    <mergeCell ref="G70:I70"/>
    <mergeCell ref="L70:N70"/>
    <mergeCell ref="B60:C64"/>
    <mergeCell ref="L60:M64"/>
    <mergeCell ref="H60:I64"/>
    <mergeCell ref="E63:F63"/>
    <mergeCell ref="E60:F60"/>
    <mergeCell ref="E61:F61"/>
    <mergeCell ref="E62:F62"/>
    <mergeCell ref="H71:I77"/>
    <mergeCell ref="Q4:S4"/>
    <mergeCell ref="L80:N80"/>
    <mergeCell ref="R71:S77"/>
    <mergeCell ref="B4:D4"/>
    <mergeCell ref="G4:I4"/>
    <mergeCell ref="A3:T3"/>
    <mergeCell ref="O4:P4"/>
    <mergeCell ref="B68:D68"/>
    <mergeCell ref="G68:I68"/>
    <mergeCell ref="L68:N68"/>
    <mergeCell ref="B69:D69"/>
    <mergeCell ref="G69:I69"/>
    <mergeCell ref="L69:N69"/>
    <mergeCell ref="Q69:S69"/>
    <mergeCell ref="L26:N26"/>
    <mergeCell ref="B18:C22"/>
    <mergeCell ref="B17:D17"/>
    <mergeCell ref="E36:F36"/>
    <mergeCell ref="B38:D38"/>
    <mergeCell ref="B25:D25"/>
    <mergeCell ref="B37:D37"/>
    <mergeCell ref="E77:F77"/>
    <mergeCell ref="B70:D70"/>
    <mergeCell ref="E74:F74"/>
    <mergeCell ref="L4:N4"/>
    <mergeCell ref="L95:N95"/>
    <mergeCell ref="G94:I94"/>
    <mergeCell ref="J90:K90"/>
    <mergeCell ref="G84:H90"/>
    <mergeCell ref="G98:H104"/>
    <mergeCell ref="M98:N104"/>
    <mergeCell ref="J84:K84"/>
    <mergeCell ref="J85:K85"/>
    <mergeCell ref="J86:K86"/>
    <mergeCell ref="J87:K87"/>
    <mergeCell ref="G92:N92"/>
    <mergeCell ref="G97:I97"/>
    <mergeCell ref="L97:N97"/>
    <mergeCell ref="G96:I96"/>
    <mergeCell ref="J102:K102"/>
    <mergeCell ref="J103:K103"/>
    <mergeCell ref="J104:K104"/>
    <mergeCell ref="L36:N36"/>
    <mergeCell ref="A1:T2"/>
    <mergeCell ref="O74:P74"/>
    <mergeCell ref="M84:N90"/>
    <mergeCell ref="L83:N83"/>
    <mergeCell ref="Q58:S58"/>
    <mergeCell ref="L50:M54"/>
    <mergeCell ref="Q6:S6"/>
    <mergeCell ref="L5:N5"/>
    <mergeCell ref="Q5:S5"/>
    <mergeCell ref="Q7:S7"/>
    <mergeCell ref="R8:S12"/>
    <mergeCell ref="Q17:S17"/>
    <mergeCell ref="Q14:S14"/>
    <mergeCell ref="L7:N7"/>
    <mergeCell ref="L14:N14"/>
    <mergeCell ref="L8:M12"/>
    <mergeCell ref="Q68:S68"/>
    <mergeCell ref="Q67:S67"/>
    <mergeCell ref="R60:S64"/>
    <mergeCell ref="A66:T66"/>
    <mergeCell ref="B67:D67"/>
    <mergeCell ref="E67:F67"/>
    <mergeCell ref="Q70:S70"/>
    <mergeCell ref="B71:C77"/>
  </mergeCells>
  <phoneticPr fontId="2" type="noConversion"/>
  <conditionalFormatting sqref="B8:C12 L8:M12 B18:C22 L18:M22 B29:C33 L29:M33 B40:C44 L40:M44 B50:C54 L50:M54 B60:C64 L60:M64">
    <cfRule type="cellIs" dxfId="34" priority="34" stopIfTrue="1" operator="greaterThanOrEqual">
      <formula>3</formula>
    </cfRule>
    <cfRule type="cellIs" dxfId="33" priority="35" stopIfTrue="1" operator="equal">
      <formula>0</formula>
    </cfRule>
  </conditionalFormatting>
  <conditionalFormatting sqref="B71:C77 L71:M77 G84:H90 G98:H104">
    <cfRule type="cellIs" dxfId="32" priority="22" stopIfTrue="1" operator="greaterThanOrEqual">
      <formula>4</formula>
    </cfRule>
  </conditionalFormatting>
  <conditionalFormatting sqref="B4:D4 G4:I4 L4:N4 Q4:S4 B5:I7 L5:S7 B14:D14 G14:I14 L14:N14 Q14:S14 B15:I17 L15:S17">
    <cfRule type="cellIs" dxfId="31" priority="19" operator="equal">
      <formula>0</formula>
    </cfRule>
    <cfRule type="containsErrors" dxfId="30" priority="38">
      <formula>ISERROR(B4)</formula>
    </cfRule>
    <cfRule type="containsBlanks" dxfId="29" priority="39">
      <formula>LEN(TRIM(B4))=0</formula>
    </cfRule>
  </conditionalFormatting>
  <conditionalFormatting sqref="B25:D28 G25:I28 L25:N28 Q25:S28 B36:D39 G36:I39 L36:N39 G46:I49 L46:N49 Q46:S49 B56:D59 G56:I59 L56:N59 G67:I70 L67:N70">
    <cfRule type="containsErrors" dxfId="28" priority="15">
      <formula>ISERROR(B25)</formula>
    </cfRule>
    <cfRule type="cellIs" dxfId="27" priority="16" operator="equal">
      <formula>0</formula>
    </cfRule>
    <cfRule type="containsBlanks" dxfId="26" priority="17">
      <formula>LEN(TRIM(B25))=0</formula>
    </cfRule>
  </conditionalFormatting>
  <conditionalFormatting sqref="B46:D49 Q56:S59 B67:D70 Q67:S70 G94:I97 L94:N97">
    <cfRule type="cellIs" dxfId="25" priority="9" operator="equal">
      <formula>0</formula>
    </cfRule>
    <cfRule type="containsErrors" dxfId="24" priority="10">
      <formula>ISERROR(B46)</formula>
    </cfRule>
    <cfRule type="containsBlanks" dxfId="23" priority="11">
      <formula>LEN(TRIM(B46))=0</formula>
    </cfRule>
  </conditionalFormatting>
  <conditionalFormatting sqref="B71:D77 L71:N77 G84:I90 G98:I104">
    <cfRule type="cellIs" dxfId="22" priority="23" stopIfTrue="1" operator="equal">
      <formula>0</formula>
    </cfRule>
  </conditionalFormatting>
  <conditionalFormatting sqref="D8:D12 N8:N12 D29:D33 N29:N33 D50:D54 N50:N54 D60:D64 N60:N64">
    <cfRule type="cellIs" dxfId="21" priority="31" stopIfTrue="1" operator="equal">
      <formula>0</formula>
    </cfRule>
  </conditionalFormatting>
  <conditionalFormatting sqref="D18:D22 N18:N22 D40:D44 N40:N44">
    <cfRule type="cellIs" dxfId="20" priority="27" operator="equal">
      <formula>0</formula>
    </cfRule>
  </conditionalFormatting>
  <conditionalFormatting sqref="D50:D54 G50:G54 N50:N54 Q50:Q54 D60:D64 G60:G64 N60:N64 Q60:Q64">
    <cfRule type="cellIs" dxfId="19" priority="4" operator="greaterThanOrEqual">
      <formula>2</formula>
    </cfRule>
  </conditionalFormatting>
  <conditionalFormatting sqref="D71:D77 G71:G77 N71:N77 Q71:Q77">
    <cfRule type="cellIs" dxfId="18" priority="3" operator="greaterThanOrEqual">
      <formula>2</formula>
    </cfRule>
  </conditionalFormatting>
  <conditionalFormatting sqref="G18:G22 Q18:Q22 G40:G44 D18:D22 N18:N22 D40:D44 N40:N44 D8:D12 G8:G12 N8:N12 Q8:Q12 D29:D33 G29:G33 N29:N33 Q29:Q33">
    <cfRule type="cellIs" dxfId="17" priority="30" stopIfTrue="1" operator="greaterThanOrEqual">
      <formula>2</formula>
    </cfRule>
  </conditionalFormatting>
  <conditionalFormatting sqref="G80:I83 L80:N83">
    <cfRule type="containsErrors" dxfId="16" priority="12">
      <formula>ISERROR(G80)</formula>
    </cfRule>
    <cfRule type="containsBlanks" dxfId="15" priority="13">
      <formula>LEN(TRIM(G80))=0</formula>
    </cfRule>
    <cfRule type="cellIs" dxfId="14" priority="14" operator="equal">
      <formula>0</formula>
    </cfRule>
  </conditionalFormatting>
  <conditionalFormatting sqref="H8:I12 R8:S12 H18:I22 R18:S22 H29:I33 R29:S33 H40:I44 R40:S44 H50:I54 R50:S54 H60:I64 R60:S64">
    <cfRule type="cellIs" dxfId="13" priority="36" stopIfTrue="1" operator="greaterThanOrEqual">
      <formula>3</formula>
    </cfRule>
    <cfRule type="cellIs" dxfId="12" priority="37" stopIfTrue="1" operator="equal">
      <formula>0</formula>
    </cfRule>
  </conditionalFormatting>
  <conditionalFormatting sqref="H71:I77 R71:S77 M84:N90 M98:N104">
    <cfRule type="cellIs" dxfId="11" priority="24" stopIfTrue="1" operator="greaterThanOrEqual">
      <formula>4</formula>
    </cfRule>
    <cfRule type="cellIs" dxfId="10" priority="25" stopIfTrue="1" operator="equal">
      <formula>0</formula>
    </cfRule>
  </conditionalFormatting>
  <conditionalFormatting sqref="I84:I90 L84:L90">
    <cfRule type="cellIs" dxfId="9" priority="2" operator="greaterThanOrEqual">
      <formula>2</formula>
    </cfRule>
  </conditionalFormatting>
  <conditionalFormatting sqref="I98:I104 L98:L104">
    <cfRule type="cellIs" dxfId="8" priority="1" operator="greaterThanOrEqual">
      <formula>2</formula>
    </cfRule>
  </conditionalFormatting>
  <conditionalFormatting sqref="Q40:Q44 G18:G22 Q18:Q22 G40:G44">
    <cfRule type="cellIs" dxfId="7" priority="29" stopIfTrue="1" operator="equal">
      <formula>0</formula>
    </cfRule>
  </conditionalFormatting>
  <conditionalFormatting sqref="Q40:Q44">
    <cfRule type="cellIs" dxfId="6" priority="5" operator="greaterThanOrEqual">
      <formula>2</formula>
    </cfRule>
  </conditionalFormatting>
  <conditionalFormatting sqref="Q36:S39">
    <cfRule type="cellIs" dxfId="5" priority="6" operator="equal">
      <formula>0</formula>
    </cfRule>
    <cfRule type="containsErrors" dxfId="4" priority="7">
      <formula>ISERROR(Q36)</formula>
    </cfRule>
    <cfRule type="containsBlanks" dxfId="3" priority="8">
      <formula>LEN(TRIM(Q36))=0</formula>
    </cfRule>
  </conditionalFormatting>
  <printOptions horizontalCentered="1" verticalCentered="1"/>
  <pageMargins left="0" right="0" top="0" bottom="0" header="0.19685039370078741" footer="0.19685039370078741"/>
  <pageSetup paperSize="9" scale="31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1">
    <pageSetUpPr fitToPage="1"/>
  </sheetPr>
  <dimension ref="A1:R159"/>
  <sheetViews>
    <sheetView showGridLines="0" tabSelected="1" zoomScale="80" zoomScaleNormal="80" zoomScaleSheetLayoutView="80" zoomScalePageLayoutView="80" workbookViewId="0">
      <selection sqref="A1:H3"/>
    </sheetView>
  </sheetViews>
  <sheetFormatPr baseColWidth="10" defaultColWidth="10.625" defaultRowHeight="15.75" outlineLevelCol="1"/>
  <cols>
    <col min="1" max="1" width="10.625" style="70"/>
    <col min="2" max="2" width="50.625" style="70" customWidth="1"/>
    <col min="3" max="3" width="50.625" style="70" customWidth="1" outlineLevel="1"/>
    <col min="4" max="4" width="20.625" style="70" customWidth="1"/>
    <col min="5" max="5" width="12.5" style="70" customWidth="1"/>
    <col min="6" max="6" width="6" style="70" hidden="1" customWidth="1"/>
    <col min="7" max="7" width="5.625" style="70" customWidth="1"/>
    <col min="8" max="8" width="8.625" style="70" customWidth="1"/>
    <col min="9" max="9" width="2.875" style="70" customWidth="1"/>
    <col min="10" max="10" width="15.5" style="70" hidden="1" customWidth="1" outlineLevel="1"/>
    <col min="11" max="11" width="18.5" style="70" hidden="1" customWidth="1" outlineLevel="1"/>
    <col min="12" max="12" width="31.875" style="70" hidden="1" customWidth="1" outlineLevel="1"/>
    <col min="13" max="13" width="13.375" style="70" hidden="1" customWidth="1" outlineLevel="1"/>
    <col min="14" max="14" width="10.625" style="70" collapsed="1"/>
    <col min="15" max="15" width="10.625" style="70"/>
    <col min="16" max="16" width="2.5" style="70" customWidth="1"/>
    <col min="17" max="16384" width="10.625" style="70"/>
  </cols>
  <sheetData>
    <row r="1" spans="1:18" ht="30" customHeight="1">
      <c r="A1" s="236" t="str">
        <f>CONCATENATE("PALMARES ",INFO!C6,"","CHAMPIONNAT DE FRANCE DES CLUBSECOLE DE TIR")</f>
        <v>PALMARES CHAMPIONNAT DE FRANCE DES CLUBSECOLE DE TIR</v>
      </c>
      <c r="B1" s="236"/>
      <c r="C1" s="236"/>
      <c r="D1" s="236"/>
      <c r="E1" s="236"/>
      <c r="F1" s="236"/>
      <c r="G1" s="236"/>
      <c r="H1" s="236"/>
      <c r="I1" s="68"/>
      <c r="J1" s="68"/>
      <c r="K1" s="68"/>
      <c r="L1" s="68"/>
      <c r="M1" s="69"/>
      <c r="N1" s="69"/>
      <c r="O1" s="69"/>
    </row>
    <row r="2" spans="1:18" ht="39.950000000000003" customHeight="1">
      <c r="A2" s="236"/>
      <c r="B2" s="236"/>
      <c r="C2" s="236"/>
      <c r="D2" s="236"/>
      <c r="E2" s="236"/>
      <c r="F2" s="236"/>
      <c r="G2" s="236"/>
      <c r="H2" s="236"/>
      <c r="I2" s="68"/>
      <c r="J2" s="68"/>
      <c r="K2" s="68"/>
      <c r="L2" s="68"/>
      <c r="M2" s="69"/>
      <c r="N2" s="69"/>
      <c r="O2" s="69"/>
      <c r="P2" s="71"/>
      <c r="Q2" s="71"/>
    </row>
    <row r="3" spans="1:18" ht="39.950000000000003" customHeight="1">
      <c r="A3" s="237"/>
      <c r="B3" s="237"/>
      <c r="C3" s="237"/>
      <c r="D3" s="237"/>
      <c r="E3" s="237"/>
      <c r="F3" s="237"/>
      <c r="G3" s="237"/>
      <c r="H3" s="237"/>
      <c r="I3" s="68"/>
      <c r="J3" s="68"/>
      <c r="K3" s="68"/>
      <c r="L3" s="68"/>
      <c r="M3" s="69"/>
      <c r="N3" s="69"/>
      <c r="O3" s="69"/>
      <c r="P3" s="71"/>
      <c r="Q3" s="71"/>
    </row>
    <row r="4" spans="1:18" s="73" customFormat="1" ht="60" customHeight="1">
      <c r="A4" s="238" t="str">
        <f>CONCATENATE(INFO!B7," - ",INFO!B9)</f>
        <v>CARABINE - MIDI-PYRENEES</v>
      </c>
      <c r="B4" s="238"/>
      <c r="C4" s="238"/>
      <c r="D4" s="238"/>
      <c r="E4" s="238"/>
      <c r="F4" s="238"/>
      <c r="G4" s="238"/>
      <c r="H4" s="238"/>
      <c r="I4" s="72"/>
      <c r="J4" s="72"/>
      <c r="K4" s="72"/>
      <c r="L4" s="72"/>
      <c r="M4" s="69"/>
      <c r="Q4" s="74"/>
      <c r="R4" s="74"/>
    </row>
    <row r="5" spans="1:18" s="73" customFormat="1" ht="39.950000000000003" customHeight="1">
      <c r="A5" s="67"/>
      <c r="B5" s="67"/>
      <c r="C5" s="67"/>
      <c r="D5" s="67"/>
      <c r="E5" s="67"/>
      <c r="F5" s="67"/>
      <c r="G5" s="67"/>
      <c r="H5" s="67"/>
      <c r="I5" s="72"/>
      <c r="J5" s="72"/>
      <c r="K5" s="72"/>
      <c r="L5" s="72"/>
      <c r="M5" s="69"/>
      <c r="Q5" s="74"/>
      <c r="R5" s="74"/>
    </row>
    <row r="6" spans="1:18" s="73" customFormat="1" ht="39.950000000000003" customHeight="1">
      <c r="A6" s="34" t="s">
        <v>39</v>
      </c>
      <c r="B6" s="32" t="s">
        <v>40</v>
      </c>
      <c r="C6" s="32" t="s">
        <v>63</v>
      </c>
      <c r="D6" s="32" t="s">
        <v>20</v>
      </c>
      <c r="E6" s="33" t="s">
        <v>41</v>
      </c>
      <c r="F6" s="42" t="s">
        <v>9</v>
      </c>
      <c r="G6" s="19"/>
      <c r="H6" s="18"/>
      <c r="L6" s="75"/>
      <c r="M6" s="74"/>
      <c r="Q6" s="74"/>
      <c r="R6" s="74"/>
    </row>
    <row r="7" spans="1:18" s="73" customFormat="1" ht="26.1" customHeight="1">
      <c r="A7" s="35">
        <v>1</v>
      </c>
      <c r="B7" s="38" t="str">
        <f>IF(A7="","",IF(P.F.!G98&gt;3,P.F.!G94,IF(P.F.!M98&gt;3,P.F.!L94,"")))</f>
        <v>38 TSM</v>
      </c>
      <c r="C7" s="38"/>
      <c r="D7" s="39">
        <f>IF(A7="","",VLOOKUP(B7,'M Q'!B$5:T$20,2,0))</f>
        <v>1931022</v>
      </c>
      <c r="E7" s="141">
        <f>IF(A7="","",VLOOKUP(B7,'M Q'!B$5:T$20,18,0))</f>
        <v>486</v>
      </c>
      <c r="F7" s="57">
        <f>IF(A7="","",VLOOKUP(B7,'M Q'!B$5:T$20,19,0))</f>
        <v>0</v>
      </c>
      <c r="G7" s="240" t="s">
        <v>19</v>
      </c>
      <c r="H7" s="16"/>
      <c r="I7" s="74"/>
      <c r="J7" s="74"/>
      <c r="K7" s="74"/>
    </row>
    <row r="8" spans="1:18" s="73" customFormat="1" ht="26.1" customHeight="1">
      <c r="A8" s="35">
        <f>IF(INFO!B8&gt;1,2,"")</f>
        <v>2</v>
      </c>
      <c r="B8" s="38" t="str">
        <f>IF(A8="","",IF(P.F.!G98&gt;3,P.F.!L94,IF(P.F.!M98&gt;3,P.F.!G94,"")))</f>
        <v>AST MONTALBANAIS</v>
      </c>
      <c r="C8" s="38"/>
      <c r="D8" s="39">
        <f>IF(A8="","",VLOOKUP(B8,'M Q'!B$5:T$20,2,0))</f>
        <v>1982105</v>
      </c>
      <c r="E8" s="141">
        <f>IF(A8="","",VLOOKUP(B8,'M Q'!B$5:T$20,18,0))</f>
        <v>424.9</v>
      </c>
      <c r="F8" s="57">
        <f>IF(A8="","",VLOOKUP(B8,'M Q'!B$5:T$20,19,0))</f>
        <v>0</v>
      </c>
      <c r="G8" s="240"/>
      <c r="H8" s="16"/>
    </row>
    <row r="9" spans="1:18" s="73" customFormat="1" ht="26.1" customHeight="1">
      <c r="A9" s="35">
        <f>IF(INFO!B8&gt;2,3,"")</f>
        <v>3</v>
      </c>
      <c r="B9" s="20" t="str">
        <f>IF(A9="","",IF(INFO!B8=3,P.F.!L80,IF(P.F.!G84&gt;3,P.F.!G80,IF(P.F.!M84&gt;3,P.F.!L80,""))))</f>
        <v>CT ST-GAUDINOIS</v>
      </c>
      <c r="C9" s="20"/>
      <c r="D9" s="39" t="str">
        <f>IF(A9="","",VLOOKUP(B9,'M Q'!B$5:T$20,2,0))</f>
        <v>19.31.086</v>
      </c>
      <c r="E9" s="141">
        <f>IF(A9="","",VLOOKUP(B9,'M Q'!B$5:T$20,18,0))</f>
        <v>436.09999999999997</v>
      </c>
      <c r="F9" s="57">
        <f>IF(A9="","",VLOOKUP(B9,'M Q'!B$5:T$20,19,0))</f>
        <v>0</v>
      </c>
      <c r="G9" s="240" t="s">
        <v>21</v>
      </c>
      <c r="H9" s="15"/>
    </row>
    <row r="10" spans="1:18" s="73" customFormat="1" ht="26.1" customHeight="1">
      <c r="A10" s="35" t="str">
        <f>IF(INFO!B8&gt;3,4,"")</f>
        <v/>
      </c>
      <c r="B10" s="20" t="str">
        <f>IF(A10="","",IF(P.F.!G84&gt;3,P.F.!L80,IF(P.F.!M84&gt;3,P.F.!G80,"")))</f>
        <v/>
      </c>
      <c r="C10" s="20"/>
      <c r="D10" s="39" t="str">
        <f>IF(A10="","",VLOOKUP(B10,'M Q'!B$5:T$20,2,0))</f>
        <v/>
      </c>
      <c r="E10" s="141" t="str">
        <f>IF(A10="","",VLOOKUP(B10,'M Q'!B$5:T$20,18,0))</f>
        <v/>
      </c>
      <c r="F10" s="57" t="str">
        <f>IF(A10="","",VLOOKUP(B10,'M Q'!B$5:T$20,19,0))</f>
        <v/>
      </c>
      <c r="G10" s="240"/>
      <c r="H10" s="15"/>
      <c r="J10" s="244" t="s">
        <v>15</v>
      </c>
      <c r="K10" s="244"/>
      <c r="L10" s="244"/>
      <c r="M10" s="244"/>
    </row>
    <row r="11" spans="1:18" s="73" customFormat="1" ht="26.1" customHeight="1">
      <c r="A11" s="35" t="str">
        <f>IF(INFO!B8&gt;4,5,"")</f>
        <v/>
      </c>
      <c r="B11" s="20" t="str">
        <f>IF(A11="","",VLOOKUP(E11,J$11:M$14,3,0))</f>
        <v/>
      </c>
      <c r="C11" s="20"/>
      <c r="D11" s="40" t="str">
        <f>IF(A11="","",VLOOKUP(E11,J$11:M$14,4,0))</f>
        <v/>
      </c>
      <c r="E11" s="20" t="str">
        <f>IF(A11="","",LARGE(J$11:J$14,1))</f>
        <v/>
      </c>
      <c r="F11" s="58" t="str">
        <f>IF(A11="","",VLOOKUP(E11,J$11:M$14,2,0))</f>
        <v/>
      </c>
      <c r="G11" s="239" t="s">
        <v>22</v>
      </c>
      <c r="H11" s="15"/>
      <c r="J11" s="76">
        <f>IF(L11=0,0,VLOOKUP(L11,saisie!C$5:W$44,21,0))</f>
        <v>0</v>
      </c>
      <c r="K11" s="76" t="e">
        <f>VLOOKUP(L11,saisie!C$5:W$44,19,0)</f>
        <v>#N/A</v>
      </c>
      <c r="L11" s="76">
        <f>IF(P.F.!D50="",0,IF(P.F.!B50&gt;2,P.F.!G46,IF(P.F.!H50&gt;2,P.F.!B46,"")))</f>
        <v>0</v>
      </c>
      <c r="M11" s="77" t="e">
        <f>VLOOKUP(L11,saisie!C$5:W$44,2,0)</f>
        <v>#N/A</v>
      </c>
    </row>
    <row r="12" spans="1:18" s="73" customFormat="1" ht="26.1" customHeight="1">
      <c r="A12" s="35" t="str">
        <f>IF(INFO!B8&gt;5,6,"")</f>
        <v/>
      </c>
      <c r="B12" s="20" t="str">
        <f>IF(A12="","",VLOOKUP(E12,J$11:M$14,3,0))</f>
        <v/>
      </c>
      <c r="C12" s="20"/>
      <c r="D12" s="40" t="str">
        <f>IF(A12="","",VLOOKUP(E12,J$11:M$14,4,0))</f>
        <v/>
      </c>
      <c r="E12" s="20" t="str">
        <f>IF(A12="","",LARGE(J$11:J$14,2))</f>
        <v/>
      </c>
      <c r="F12" s="58" t="str">
        <f>IF(A12="","",VLOOKUP(E12,J$11:M$14,2,0))</f>
        <v/>
      </c>
      <c r="G12" s="239"/>
      <c r="H12" s="15"/>
      <c r="J12" s="76">
        <f>IF(L12=0,0,VLOOKUP(L12,saisie!C$5:W$44,21,0))</f>
        <v>0</v>
      </c>
      <c r="K12" s="76" t="e">
        <f>VLOOKUP(L12,saisie!C$5:W$44,19,0)</f>
        <v>#N/A</v>
      </c>
      <c r="L12" s="76">
        <f>IF(P.F.!Q50="",0,IF(P.F.!L50&gt;2,P.F.!Q46,IF(P.F.!R50&gt;2,P.F.!L46,"")))</f>
        <v>0</v>
      </c>
      <c r="M12" s="77" t="e">
        <f>VLOOKUP(L12,saisie!C$5:W$44,2,0)</f>
        <v>#N/A</v>
      </c>
    </row>
    <row r="13" spans="1:18" s="73" customFormat="1" ht="26.1" customHeight="1">
      <c r="A13" s="35" t="str">
        <f>IF(INFO!B8&gt;6,7,"")</f>
        <v/>
      </c>
      <c r="B13" s="20" t="str">
        <f>IF(A13="","",VLOOKUP(E13,J$11:M$14,3,0))</f>
        <v/>
      </c>
      <c r="C13" s="20"/>
      <c r="D13" s="40" t="str">
        <f>IF(A13="","",VLOOKUP(E13,J$11:M$14,4,0))</f>
        <v/>
      </c>
      <c r="E13" s="20" t="str">
        <f>IF(A13="","",LARGE(J$11:J$14,3))</f>
        <v/>
      </c>
      <c r="F13" s="58" t="str">
        <f>IF(A13="","",VLOOKUP(E13,J$11:M$14,2,0))</f>
        <v/>
      </c>
      <c r="G13" s="239"/>
      <c r="H13" s="15"/>
      <c r="J13" s="76" t="e">
        <f>VLOOKUP(L13,saisie!C$5:W$44,21,0)</f>
        <v>#N/A</v>
      </c>
      <c r="K13" s="76" t="e">
        <f>VLOOKUP(L13,saisie!C$5:W$44,19,0)</f>
        <v>#N/A</v>
      </c>
      <c r="L13" s="76">
        <f>IF(P.F.!D60="",0,IF(P.F.!H60&gt;2,P.F.!B56,IF(P.F.!B60&gt;2,P.F.!G56,"")))</f>
        <v>0</v>
      </c>
      <c r="M13" s="77" t="e">
        <f>VLOOKUP(L13,saisie!C$5:W$44,2,0)</f>
        <v>#N/A</v>
      </c>
      <c r="N13" s="74"/>
      <c r="O13" s="74"/>
    </row>
    <row r="14" spans="1:18" s="73" customFormat="1" ht="26.1" customHeight="1">
      <c r="A14" s="35" t="str">
        <f>IF(INFO!B8&gt;7,8,"")</f>
        <v/>
      </c>
      <c r="B14" s="20" t="str">
        <f>IF(A14="","",VLOOKUP(E14,J$11:M$14,3,0))</f>
        <v/>
      </c>
      <c r="C14" s="20"/>
      <c r="D14" s="40" t="str">
        <f>IF(A14="","",VLOOKUP(E14,J$11:M$14,4,0))</f>
        <v/>
      </c>
      <c r="E14" s="20" t="str">
        <f>IF(A14="","",LARGE(J$11:J$14,4))</f>
        <v/>
      </c>
      <c r="F14" s="58" t="str">
        <f>IF(A14="","",VLOOKUP(E14,J$11:M$14,2,0))</f>
        <v/>
      </c>
      <c r="G14" s="239"/>
      <c r="H14" s="15"/>
      <c r="J14" s="76">
        <f>IF(L14=0,0,VLOOKUP(L14,saisie!C$5:W$44,21,0))</f>
        <v>0</v>
      </c>
      <c r="K14" s="76" t="e">
        <f>VLOOKUP(L14,saisie!C$5:W$44,19,0)</f>
        <v>#N/A</v>
      </c>
      <c r="L14" s="76">
        <f>IF(P.F.!Q60="",0,IF(P.F.!R60&gt;2,P.F.!L56,IF(P.F.!L60&gt;2,P.F.!Q56,"")))</f>
        <v>0</v>
      </c>
      <c r="M14" s="77" t="e">
        <f>VLOOKUP(L14,saisie!C$5:W$44,2,0)</f>
        <v>#N/A</v>
      </c>
      <c r="N14" s="74"/>
      <c r="O14" s="74"/>
      <c r="P14" s="74"/>
    </row>
    <row r="15" spans="1:18" s="73" customFormat="1" ht="26.1" customHeight="1">
      <c r="A15" s="35" t="str">
        <f>IF(INFO!B8&gt;8,9,"")</f>
        <v/>
      </c>
      <c r="B15" s="20" t="str">
        <f>IF(A15="","",VLOOKUP(E15,J$15:M$22,3,0))</f>
        <v/>
      </c>
      <c r="C15" s="20"/>
      <c r="D15" s="40" t="str">
        <f>IF(A15="","",VLOOKUP(E15,J$15:M$22,4,0))</f>
        <v/>
      </c>
      <c r="E15" s="20" t="str">
        <f>IF(A15="","",LARGE(J$15:J$22,1))</f>
        <v/>
      </c>
      <c r="F15" s="58" t="str">
        <f>IF(A15="","",VLOOKUP(E15,J$15:M$22,2,0))</f>
        <v/>
      </c>
      <c r="G15" s="241" t="s">
        <v>61</v>
      </c>
      <c r="H15" s="15"/>
      <c r="J15" s="76">
        <f>IF(L15="",0,VLOOKUP(L15,saisie!C$5:W$44,21,0))</f>
        <v>0</v>
      </c>
      <c r="K15" s="76" t="e">
        <f>VLOOKUP(L15,saisie!C$5:W$44,19,0)</f>
        <v>#N/A</v>
      </c>
      <c r="L15" s="76" t="str">
        <f>IF(P.F.!D8="","",IF(P.F.!B8&gt;2,P.F.!G4,IF(P.F.!H8&gt;2,P.F.!B4,"")))</f>
        <v/>
      </c>
      <c r="M15" s="77" t="e">
        <f>VLOOKUP(L15,saisie!C$5:W$44,2,0)</f>
        <v>#N/A</v>
      </c>
      <c r="N15" s="74"/>
      <c r="O15" s="74"/>
      <c r="P15" s="74"/>
    </row>
    <row r="16" spans="1:18" s="73" customFormat="1" ht="26.1" customHeight="1">
      <c r="A16" s="35" t="str">
        <f>IF(INFO!B8&gt;9,10,"")</f>
        <v/>
      </c>
      <c r="B16" s="20" t="str">
        <f t="shared" ref="B16:B22" si="0">IF(A16="","",VLOOKUP(E16,J$15:M$22,3,0))</f>
        <v/>
      </c>
      <c r="C16" s="20"/>
      <c r="D16" s="40" t="str">
        <f t="shared" ref="D16:D22" si="1">IF(A16="","",VLOOKUP(E16,J$15:M$22,4,0))</f>
        <v/>
      </c>
      <c r="E16" s="20" t="str">
        <f>IF(A16="","",LARGE(J$15:J$22,2))</f>
        <v/>
      </c>
      <c r="F16" s="58" t="str">
        <f t="shared" ref="F16:F22" si="2">IF(A16="","",VLOOKUP(E16,J$15:M$22,2,0))</f>
        <v/>
      </c>
      <c r="G16" s="242"/>
      <c r="H16" s="15"/>
      <c r="J16" s="76">
        <f>IF(L16="",0,VLOOKUP(L16,saisie!C$5:W$44,21,0))</f>
        <v>0</v>
      </c>
      <c r="K16" s="76" t="e">
        <f>VLOOKUP(L16,saisie!C$5:W$44,19,0)</f>
        <v>#N/A</v>
      </c>
      <c r="L16" s="77" t="str">
        <f>IF(P.F.!N8="","",IF(P.F.!L8&gt;2,P.F.!Q4,IF(P.F.!R8&gt;2,P.F.!L4,"")))</f>
        <v/>
      </c>
      <c r="M16" s="77" t="e">
        <f>VLOOKUP(L16,saisie!C$5:W$44,2,0)</f>
        <v>#N/A</v>
      </c>
      <c r="N16" s="78"/>
      <c r="O16" s="74"/>
      <c r="P16" s="74"/>
    </row>
    <row r="17" spans="1:16" s="73" customFormat="1" ht="26.1" customHeight="1">
      <c r="A17" s="35" t="str">
        <f>IF(INFO!B8&gt;10,11,"")</f>
        <v/>
      </c>
      <c r="B17" s="20" t="str">
        <f t="shared" si="0"/>
        <v/>
      </c>
      <c r="C17" s="20"/>
      <c r="D17" s="40" t="str">
        <f t="shared" si="1"/>
        <v/>
      </c>
      <c r="E17" s="20" t="str">
        <f>IF(A17="","",LARGE(J$15:J$22,3))</f>
        <v/>
      </c>
      <c r="F17" s="58" t="str">
        <f t="shared" si="2"/>
        <v/>
      </c>
      <c r="G17" s="242"/>
      <c r="H17" s="15"/>
      <c r="J17" s="76">
        <f>IF(L17="",0,VLOOKUP(L17,saisie!C$5:W$44,21,0))</f>
        <v>0</v>
      </c>
      <c r="K17" s="76" t="e">
        <f>VLOOKUP(L17,saisie!C$5:W$44,19,0)</f>
        <v>#N/A</v>
      </c>
      <c r="L17" s="77" t="str">
        <f>IF(P.F.!G18="","",IF(P.F.!H18&gt;2,P.F.!B14,IF(P.F.!B18&gt;2,P.F.!G14,"")))</f>
        <v/>
      </c>
      <c r="M17" s="77" t="e">
        <f>VLOOKUP(L17,saisie!C$5:W$44,2,0)</f>
        <v>#N/A</v>
      </c>
      <c r="N17" s="78"/>
      <c r="O17" s="74"/>
      <c r="P17" s="74"/>
    </row>
    <row r="18" spans="1:16" s="73" customFormat="1" ht="26.1" customHeight="1">
      <c r="A18" s="35" t="str">
        <f>IF(INFO!B8&gt;11,12,"")</f>
        <v/>
      </c>
      <c r="B18" s="20" t="str">
        <f t="shared" si="0"/>
        <v/>
      </c>
      <c r="C18" s="20"/>
      <c r="D18" s="40" t="str">
        <f t="shared" si="1"/>
        <v/>
      </c>
      <c r="E18" s="20" t="str">
        <f>IF(A18="","",LARGE(J$15:J$22,4))</f>
        <v/>
      </c>
      <c r="F18" s="58" t="str">
        <f t="shared" si="2"/>
        <v/>
      </c>
      <c r="G18" s="242"/>
      <c r="H18" s="15"/>
      <c r="J18" s="76">
        <f>IF(L18="",0,VLOOKUP(L18,saisie!C$5:W$44,21,0))</f>
        <v>0</v>
      </c>
      <c r="K18" s="76" t="e">
        <f>VLOOKUP(L18,saisie!C$5:W$44,19,0)</f>
        <v>#N/A</v>
      </c>
      <c r="L18" s="77" t="str">
        <f>IF(P.F.!Q18="","",IF(P.F.!R18&gt;2,P.F.!L14,IF(P.F.!L18&gt;2,P.F.!Q14,"")))</f>
        <v/>
      </c>
      <c r="M18" s="77" t="e">
        <f>VLOOKUP(L18,saisie!C$5:W$44,2,0)</f>
        <v>#N/A</v>
      </c>
      <c r="N18" s="78"/>
      <c r="O18" s="74"/>
      <c r="P18" s="74"/>
    </row>
    <row r="19" spans="1:16" s="73" customFormat="1" ht="26.1" customHeight="1">
      <c r="A19" s="35" t="str">
        <f>IF(INFO!B8&gt;12,13,"")</f>
        <v/>
      </c>
      <c r="B19" s="20" t="str">
        <f t="shared" si="0"/>
        <v/>
      </c>
      <c r="C19" s="20"/>
      <c r="D19" s="40" t="str">
        <f t="shared" si="1"/>
        <v/>
      </c>
      <c r="E19" s="20" t="str">
        <f>IF(A19="","",LARGE(J$15:J$22,5))</f>
        <v/>
      </c>
      <c r="F19" s="58" t="str">
        <f t="shared" si="2"/>
        <v/>
      </c>
      <c r="G19" s="242"/>
      <c r="H19" s="15"/>
      <c r="J19" s="76">
        <f>IF(L19="",0,VLOOKUP(L19,saisie!C$5:W$44,21,0))</f>
        <v>0</v>
      </c>
      <c r="K19" s="76" t="e">
        <f>VLOOKUP(L19,saisie!C$5:W$44,19,0)</f>
        <v>#N/A</v>
      </c>
      <c r="L19" s="77" t="str">
        <f>IF(P.F.!D29="","",IF(P.F.!B29&gt;2,P.F.!G25,IF(P.F.!H29&gt;2,P.F.!B25,"")))</f>
        <v/>
      </c>
      <c r="M19" s="77" t="e">
        <f>VLOOKUP(L19,saisie!C$5:W$44,2,0)</f>
        <v>#N/A</v>
      </c>
      <c r="N19" s="78"/>
      <c r="O19" s="74"/>
      <c r="P19" s="74"/>
    </row>
    <row r="20" spans="1:16" s="73" customFormat="1" ht="26.1" customHeight="1">
      <c r="A20" s="35" t="str">
        <f>IF(INFO!B8&gt;13,14,"")</f>
        <v/>
      </c>
      <c r="B20" s="20" t="str">
        <f t="shared" si="0"/>
        <v/>
      </c>
      <c r="C20" s="20"/>
      <c r="D20" s="40" t="str">
        <f t="shared" si="1"/>
        <v/>
      </c>
      <c r="E20" s="20" t="str">
        <f>IF(A20="","",LARGE(J$15:J$22,6))</f>
        <v/>
      </c>
      <c r="F20" s="58" t="str">
        <f t="shared" si="2"/>
        <v/>
      </c>
      <c r="G20" s="242"/>
      <c r="H20" s="15"/>
      <c r="J20" s="76">
        <f>IF(L20="",0,VLOOKUP(L20,saisie!C$5:W$44,21,0))</f>
        <v>0</v>
      </c>
      <c r="K20" s="76" t="e">
        <f>VLOOKUP(L20,saisie!C$5:W$44,19,0)</f>
        <v>#N/A</v>
      </c>
      <c r="L20" s="77" t="str">
        <f>IF(P.F.!N29="","",IF(P.F.!L29&gt;2,P.F.!Q25,IF(P.F.!R29&gt;2,P.F.!L25,"")))</f>
        <v/>
      </c>
      <c r="M20" s="77" t="e">
        <f>VLOOKUP(L20,saisie!C$5:W$44,2,0)</f>
        <v>#N/A</v>
      </c>
      <c r="N20" s="78"/>
      <c r="O20" s="74"/>
      <c r="P20" s="74"/>
    </row>
    <row r="21" spans="1:16" s="73" customFormat="1" ht="26.1" customHeight="1">
      <c r="A21" s="35" t="str">
        <f>IF(INFO!B8&gt;14,15,"")</f>
        <v/>
      </c>
      <c r="B21" s="20" t="str">
        <f t="shared" si="0"/>
        <v/>
      </c>
      <c r="C21" s="20"/>
      <c r="D21" s="40" t="str">
        <f t="shared" si="1"/>
        <v/>
      </c>
      <c r="E21" s="20" t="str">
        <f>IF(A21="","",LARGE(J$15:J$22,7))</f>
        <v/>
      </c>
      <c r="F21" s="58" t="str">
        <f t="shared" si="2"/>
        <v/>
      </c>
      <c r="G21" s="242"/>
      <c r="H21" s="15"/>
      <c r="J21" s="76">
        <f>IF(L21="",0,VLOOKUP(L21,saisie!C$5:W$44,21,0))</f>
        <v>0</v>
      </c>
      <c r="K21" s="76" t="e">
        <f>VLOOKUP(L21,saisie!C$5:W$44,19,0)</f>
        <v>#N/A</v>
      </c>
      <c r="L21" s="76" t="str">
        <f>IF(P.F.!G40="","",IF(P.F.!H40&gt;2,P.F.!B36,IF(P.F.!B40&gt;2,P.F.!G36,"")))</f>
        <v/>
      </c>
      <c r="M21" s="77" t="e">
        <f>VLOOKUP(L21,saisie!C$5:W$44,2,0)</f>
        <v>#N/A</v>
      </c>
      <c r="N21" s="74"/>
      <c r="O21" s="74"/>
      <c r="P21" s="74"/>
    </row>
    <row r="22" spans="1:16" s="73" customFormat="1" ht="26.1" customHeight="1">
      <c r="A22" s="35" t="str">
        <f>IF(INFO!B8&gt;15,16,"")</f>
        <v/>
      </c>
      <c r="B22" s="20" t="str">
        <f t="shared" si="0"/>
        <v/>
      </c>
      <c r="C22" s="20"/>
      <c r="D22" s="40" t="str">
        <f t="shared" si="1"/>
        <v/>
      </c>
      <c r="E22" s="20" t="str">
        <f>IF(A22="","",LARGE(J$15:J$22,8))</f>
        <v/>
      </c>
      <c r="F22" s="58" t="str">
        <f t="shared" si="2"/>
        <v/>
      </c>
      <c r="G22" s="243"/>
      <c r="H22" s="15"/>
      <c r="J22" s="76">
        <f>IF(L22="",0,VLOOKUP(L22,saisie!C$5:W$44,21,0))</f>
        <v>0</v>
      </c>
      <c r="K22" s="76" t="e">
        <f>VLOOKUP(L22,saisie!C$5:W$44,19,0)</f>
        <v>#N/A</v>
      </c>
      <c r="L22" s="76" t="str">
        <f>IF(P.F.!Q40="","",IF(P.F.!R40&gt;2,P.F.!L36,IF(P.F.!L40&gt;2,P.F.!Q36,"")))</f>
        <v/>
      </c>
      <c r="M22" s="77" t="e">
        <f>VLOOKUP(L22,saisie!C$5:W$44,2,0)</f>
        <v>#N/A</v>
      </c>
      <c r="N22" s="74"/>
      <c r="O22" s="74"/>
      <c r="P22" s="74"/>
    </row>
    <row r="23" spans="1:16" s="73" customFormat="1" ht="26.1" customHeight="1">
      <c r="A23" s="35" t="str">
        <f>IF(INFO!B8&gt;16,17,"")</f>
        <v/>
      </c>
      <c r="B23" s="20" t="str">
        <f>IF(A23="","",'M Q'!B21)</f>
        <v/>
      </c>
      <c r="C23" s="20"/>
      <c r="D23" s="40" t="str">
        <f>IF(A23="","",'M Q'!C21)</f>
        <v/>
      </c>
      <c r="E23" s="20" t="str">
        <f>IF(A23="","",'M Q'!S21)</f>
        <v/>
      </c>
      <c r="F23" s="41" t="str">
        <f>IF(A23="","",'M Q'!T21)</f>
        <v/>
      </c>
      <c r="G23" s="30"/>
      <c r="H23" s="15"/>
      <c r="J23" s="235" t="s">
        <v>62</v>
      </c>
      <c r="K23" s="235"/>
      <c r="L23" s="235"/>
      <c r="M23" s="235"/>
      <c r="N23" s="74"/>
      <c r="O23" s="74"/>
      <c r="P23" s="74"/>
    </row>
    <row r="24" spans="1:16" s="73" customFormat="1" ht="26.1" customHeight="1">
      <c r="A24" s="35" t="str">
        <f>IF(INFO!B8&gt;17,18,"")</f>
        <v/>
      </c>
      <c r="B24" s="20" t="str">
        <f>IF(A24="","",'M Q'!B22)</f>
        <v/>
      </c>
      <c r="C24" s="20"/>
      <c r="D24" s="40" t="str">
        <f>IF(A24="","",'M Q'!C22)</f>
        <v/>
      </c>
      <c r="E24" s="20" t="str">
        <f>IF(A24="","",'M Q'!S22)</f>
        <v/>
      </c>
      <c r="F24" s="41" t="str">
        <f>IF(A24="","",'M Q'!T22)</f>
        <v/>
      </c>
      <c r="G24" s="30"/>
      <c r="H24" s="15"/>
      <c r="M24" s="74"/>
      <c r="N24" s="74"/>
      <c r="O24" s="74"/>
      <c r="P24" s="74"/>
    </row>
    <row r="25" spans="1:16" s="73" customFormat="1" ht="26.1" customHeight="1">
      <c r="A25" s="35" t="str">
        <f>IF(INFO!B8&gt;18,19,"")</f>
        <v/>
      </c>
      <c r="B25" s="20" t="str">
        <f>IF(A25="","",'M Q'!B23)</f>
        <v/>
      </c>
      <c r="C25" s="20"/>
      <c r="D25" s="40" t="str">
        <f>IF(A25="","",'M Q'!C23)</f>
        <v/>
      </c>
      <c r="E25" s="20" t="str">
        <f>IF(A25="","",'M Q'!S23)</f>
        <v/>
      </c>
      <c r="F25" s="41" t="str">
        <f>IF(A25="","",'M Q'!T23)</f>
        <v/>
      </c>
      <c r="G25" s="30"/>
      <c r="H25" s="15"/>
      <c r="M25" s="74"/>
      <c r="N25" s="74"/>
      <c r="O25" s="74"/>
      <c r="P25" s="74"/>
    </row>
    <row r="26" spans="1:16" s="73" customFormat="1" ht="26.1" customHeight="1">
      <c r="A26" s="35" t="str">
        <f>IF(INFO!B8&gt;19,20,"")</f>
        <v/>
      </c>
      <c r="B26" s="20" t="str">
        <f>IF(A26="","",'M Q'!B24)</f>
        <v/>
      </c>
      <c r="C26" s="20"/>
      <c r="D26" s="40" t="str">
        <f>IF(A26="","",'M Q'!C24)</f>
        <v/>
      </c>
      <c r="E26" s="20" t="str">
        <f>IF(A26="","",'M Q'!S24)</f>
        <v/>
      </c>
      <c r="F26" s="41" t="str">
        <f>IF(A26="","",'M Q'!T24)</f>
        <v/>
      </c>
      <c r="G26" s="30"/>
      <c r="H26" s="15"/>
      <c r="M26" s="74"/>
      <c r="N26" s="74"/>
      <c r="O26" s="74"/>
      <c r="P26" s="74"/>
    </row>
    <row r="27" spans="1:16" s="73" customFormat="1" ht="26.1" customHeight="1">
      <c r="A27" s="35" t="str">
        <f>IF(INFO!B8&gt;20,21,"")</f>
        <v/>
      </c>
      <c r="B27" s="20" t="str">
        <f>IF(A27="","",'M Q'!B25)</f>
        <v/>
      </c>
      <c r="C27" s="20"/>
      <c r="D27" s="40" t="str">
        <f>IF(A27="","",'M Q'!C25)</f>
        <v/>
      </c>
      <c r="E27" s="20" t="str">
        <f>IF(A27="","",'M Q'!S25)</f>
        <v/>
      </c>
      <c r="F27" s="41" t="str">
        <f>IF(A27="","",'M Q'!T25)</f>
        <v/>
      </c>
      <c r="G27" s="30"/>
      <c r="H27" s="15"/>
      <c r="M27" s="74"/>
      <c r="N27" s="74"/>
      <c r="O27" s="74"/>
      <c r="P27" s="74"/>
    </row>
    <row r="28" spans="1:16" s="73" customFormat="1" ht="26.1" customHeight="1">
      <c r="A28" s="35" t="str">
        <f>IF(INFO!B8&gt;21,22,"")</f>
        <v/>
      </c>
      <c r="B28" s="20" t="str">
        <f>IF(A28="","",'M Q'!B26)</f>
        <v/>
      </c>
      <c r="C28" s="20"/>
      <c r="D28" s="40" t="str">
        <f>IF(A28="","",'M Q'!C26)</f>
        <v/>
      </c>
      <c r="E28" s="20" t="str">
        <f>IF(A28="","",'M Q'!S26)</f>
        <v/>
      </c>
      <c r="F28" s="41" t="str">
        <f>IF(A28="","",'M Q'!T26)</f>
        <v/>
      </c>
      <c r="G28" s="30"/>
      <c r="H28" s="15"/>
      <c r="M28" s="74"/>
      <c r="N28" s="74"/>
      <c r="O28" s="74"/>
      <c r="P28" s="74"/>
    </row>
    <row r="29" spans="1:16" s="73" customFormat="1" ht="26.1" customHeight="1">
      <c r="A29" s="35" t="str">
        <f>IF(INFO!B8&gt;22,23,"")</f>
        <v/>
      </c>
      <c r="B29" s="20" t="str">
        <f>IF(A29="","",'M Q'!B27)</f>
        <v/>
      </c>
      <c r="C29" s="20"/>
      <c r="D29" s="40" t="str">
        <f>IF(A29="","",'M Q'!C27)</f>
        <v/>
      </c>
      <c r="E29" s="20" t="str">
        <f>IF(A29="","",'M Q'!S27)</f>
        <v/>
      </c>
      <c r="F29" s="41" t="str">
        <f>IF(A29="","",'M Q'!T27)</f>
        <v/>
      </c>
      <c r="G29" s="30"/>
      <c r="H29" s="15"/>
      <c r="M29" s="74"/>
      <c r="N29" s="74"/>
      <c r="O29" s="74"/>
      <c r="P29" s="74"/>
    </row>
    <row r="30" spans="1:16" s="73" customFormat="1" ht="26.1" customHeight="1">
      <c r="A30" s="35" t="str">
        <f>IF(INFO!B8&gt;23,24,"")</f>
        <v/>
      </c>
      <c r="B30" s="20" t="str">
        <f>IF(A30="","",'M Q'!B28)</f>
        <v/>
      </c>
      <c r="C30" s="20"/>
      <c r="D30" s="40" t="str">
        <f>IF(A30="","",'M Q'!C28)</f>
        <v/>
      </c>
      <c r="E30" s="20" t="str">
        <f>IF(A30="","",'M Q'!S28)</f>
        <v/>
      </c>
      <c r="F30" s="41" t="str">
        <f>IF(A30="","",'M Q'!T28)</f>
        <v/>
      </c>
      <c r="G30" s="30"/>
      <c r="H30" s="15"/>
      <c r="M30" s="74"/>
      <c r="N30" s="74"/>
      <c r="O30" s="74"/>
      <c r="P30" s="74"/>
    </row>
    <row r="31" spans="1:16" s="73" customFormat="1" ht="26.1" customHeight="1">
      <c r="A31" s="35" t="str">
        <f>IF(INFO!B8&gt;24,25,"")</f>
        <v/>
      </c>
      <c r="B31" s="20" t="str">
        <f>IF(A31="","",'M Q'!B29)</f>
        <v/>
      </c>
      <c r="C31" s="20"/>
      <c r="D31" s="40" t="str">
        <f>IF(A31="","",'M Q'!C29)</f>
        <v/>
      </c>
      <c r="E31" s="20" t="str">
        <f>IF(A31="","",'M Q'!S29)</f>
        <v/>
      </c>
      <c r="F31" s="41" t="str">
        <f>IF(A31="","",'M Q'!T29)</f>
        <v/>
      </c>
      <c r="G31" s="30"/>
      <c r="H31" s="15"/>
      <c r="M31" s="74"/>
      <c r="N31" s="74"/>
      <c r="O31" s="74"/>
      <c r="P31" s="74"/>
    </row>
    <row r="32" spans="1:16" s="73" customFormat="1" ht="26.1" customHeight="1">
      <c r="A32" s="35" t="str">
        <f>IF(INFO!B8&gt;25,26,"")</f>
        <v/>
      </c>
      <c r="B32" s="20" t="str">
        <f>IF(A32="","",'M Q'!B30)</f>
        <v/>
      </c>
      <c r="C32" s="20"/>
      <c r="D32" s="40" t="str">
        <f>IF(A32="","",'M Q'!C30)</f>
        <v/>
      </c>
      <c r="E32" s="20" t="str">
        <f>IF(A32="","",'M Q'!S30)</f>
        <v/>
      </c>
      <c r="F32" s="41" t="str">
        <f>IF(A32="","",'M Q'!T30)</f>
        <v/>
      </c>
      <c r="G32" s="30"/>
      <c r="H32" s="15"/>
      <c r="M32" s="74"/>
      <c r="N32" s="74"/>
      <c r="O32" s="74"/>
      <c r="P32" s="74"/>
    </row>
    <row r="33" spans="1:17" s="73" customFormat="1" ht="26.1" customHeight="1">
      <c r="A33" s="35" t="str">
        <f>IF(INFO!B8&gt;26,27,"")</f>
        <v/>
      </c>
      <c r="B33" s="20" t="str">
        <f>IF(A33="","",'M Q'!B31)</f>
        <v/>
      </c>
      <c r="C33" s="20"/>
      <c r="D33" s="40" t="str">
        <f>IF(A33="","",'M Q'!C31)</f>
        <v/>
      </c>
      <c r="E33" s="20" t="str">
        <f>IF(A33="","",'M Q'!S31)</f>
        <v/>
      </c>
      <c r="F33" s="41" t="str">
        <f>IF(A33="","",'M Q'!T31)</f>
        <v/>
      </c>
      <c r="G33" s="30"/>
      <c r="H33" s="15"/>
      <c r="M33" s="74"/>
      <c r="N33" s="74"/>
      <c r="O33" s="74"/>
      <c r="P33" s="74"/>
    </row>
    <row r="34" spans="1:17" s="73" customFormat="1" ht="26.1" customHeight="1">
      <c r="A34" s="35" t="str">
        <f>IF(INFO!B8&gt;27,28,"")</f>
        <v/>
      </c>
      <c r="B34" s="20" t="str">
        <f>IF(A34="","",'M Q'!B32)</f>
        <v/>
      </c>
      <c r="C34" s="20"/>
      <c r="D34" s="40" t="str">
        <f>IF(A34="","",'M Q'!C32)</f>
        <v/>
      </c>
      <c r="E34" s="20" t="str">
        <f>IF(A34="","",'M Q'!S32)</f>
        <v/>
      </c>
      <c r="F34" s="41" t="str">
        <f>IF(A34="","",'M Q'!T32)</f>
        <v/>
      </c>
      <c r="G34" s="30"/>
      <c r="H34" s="15"/>
      <c r="M34" s="74"/>
      <c r="N34" s="74"/>
      <c r="O34" s="74"/>
      <c r="P34" s="74"/>
    </row>
    <row r="35" spans="1:17" s="73" customFormat="1" ht="26.1" customHeight="1">
      <c r="A35" s="35" t="str">
        <f>IF(INFO!B8&gt;28,29,"")</f>
        <v/>
      </c>
      <c r="B35" s="20" t="str">
        <f>IF(A35="","",'M Q'!B33)</f>
        <v/>
      </c>
      <c r="C35" s="20"/>
      <c r="D35" s="40" t="str">
        <f>IF(A35="","",'M Q'!C33)</f>
        <v/>
      </c>
      <c r="E35" s="20" t="str">
        <f>IF(A35="","",'M Q'!S33)</f>
        <v/>
      </c>
      <c r="F35" s="41" t="str">
        <f>IF(A35="","",'M Q'!T33)</f>
        <v/>
      </c>
      <c r="G35" s="30"/>
      <c r="H35" s="15"/>
      <c r="M35" s="74"/>
      <c r="N35" s="74"/>
      <c r="O35" s="74"/>
      <c r="P35" s="74"/>
    </row>
    <row r="36" spans="1:17" s="73" customFormat="1" ht="26.1" customHeight="1">
      <c r="A36" s="35" t="str">
        <f>IF(INFO!B8&gt;29,30,"")</f>
        <v/>
      </c>
      <c r="B36" s="20" t="str">
        <f>IF(A36="","",'M Q'!B34)</f>
        <v/>
      </c>
      <c r="C36" s="20"/>
      <c r="D36" s="40" t="str">
        <f>IF(A36="","",'M Q'!C34)</f>
        <v/>
      </c>
      <c r="E36" s="20" t="str">
        <f>IF(A36="","",'M Q'!S34)</f>
        <v/>
      </c>
      <c r="F36" s="41" t="str">
        <f>IF(A36="","",'M Q'!T34)</f>
        <v/>
      </c>
      <c r="G36" s="30"/>
      <c r="H36" s="15"/>
      <c r="M36" s="74"/>
      <c r="N36" s="74"/>
      <c r="O36" s="74"/>
      <c r="P36" s="74"/>
    </row>
    <row r="37" spans="1:17" s="73" customFormat="1" ht="26.1" customHeight="1">
      <c r="A37" s="35" t="str">
        <f>IF(INFO!B8&gt;30,31,"")</f>
        <v/>
      </c>
      <c r="B37" s="20" t="str">
        <f>IF(A37="","",'M Q'!B35)</f>
        <v/>
      </c>
      <c r="C37" s="20"/>
      <c r="D37" s="40" t="str">
        <f>IF(A37="","",'M Q'!C35)</f>
        <v/>
      </c>
      <c r="E37" s="20" t="str">
        <f>IF(A37="","",'M Q'!S35)</f>
        <v/>
      </c>
      <c r="F37" s="41" t="str">
        <f>IF(A37="","",'M Q'!T35)</f>
        <v/>
      </c>
      <c r="G37" s="30"/>
      <c r="H37" s="15"/>
      <c r="M37" s="74"/>
      <c r="N37" s="74"/>
      <c r="O37" s="74"/>
      <c r="P37" s="74"/>
    </row>
    <row r="38" spans="1:17" s="73" customFormat="1" ht="26.1" customHeight="1">
      <c r="A38" s="35" t="str">
        <f>IF(INFO!B8&gt;31,32,"")</f>
        <v/>
      </c>
      <c r="B38" s="20" t="str">
        <f>IF(A38="","",'M Q'!B36)</f>
        <v/>
      </c>
      <c r="C38" s="20"/>
      <c r="D38" s="40" t="str">
        <f>IF(A38="","",'M Q'!C36)</f>
        <v/>
      </c>
      <c r="E38" s="20" t="str">
        <f>IF(A38="","",'M Q'!S36)</f>
        <v/>
      </c>
      <c r="F38" s="41" t="str">
        <f>IF(A38="","",'M Q'!T36)</f>
        <v/>
      </c>
      <c r="G38" s="30"/>
      <c r="H38" s="15"/>
      <c r="M38" s="74"/>
      <c r="N38" s="74"/>
      <c r="O38" s="74"/>
      <c r="P38" s="74"/>
    </row>
    <row r="39" spans="1:17" s="73" customFormat="1" ht="26.1" customHeight="1">
      <c r="A39" s="35" t="str">
        <f>IF(INFO!B8&gt;32,33,"")</f>
        <v/>
      </c>
      <c r="B39" s="20" t="str">
        <f>IF(A39="","",'M Q'!B37)</f>
        <v/>
      </c>
      <c r="C39" s="20"/>
      <c r="D39" s="40" t="str">
        <f>IF(A39="","",'M Q'!C37)</f>
        <v/>
      </c>
      <c r="E39" s="20" t="str">
        <f>IF(A39="","",'M Q'!S37)</f>
        <v/>
      </c>
      <c r="F39" s="41" t="str">
        <f>IF(A39="","",'M Q'!T37)</f>
        <v/>
      </c>
      <c r="G39" s="30"/>
      <c r="H39" s="15"/>
      <c r="M39" s="74"/>
      <c r="N39" s="74"/>
      <c r="O39" s="74"/>
      <c r="P39" s="74"/>
    </row>
    <row r="40" spans="1:17" s="73" customFormat="1" ht="26.1" customHeight="1">
      <c r="A40" s="35" t="str">
        <f>IF(INFO!B8&gt;33,34,"")</f>
        <v/>
      </c>
      <c r="B40" s="20" t="str">
        <f>IF(A40="","",'M Q'!B38)</f>
        <v/>
      </c>
      <c r="C40" s="20"/>
      <c r="D40" s="40" t="str">
        <f>IF(A40="","",'M Q'!C38)</f>
        <v/>
      </c>
      <c r="E40" s="20" t="str">
        <f>IF(A40="","",'M Q'!S38)</f>
        <v/>
      </c>
      <c r="F40" s="41" t="str">
        <f>IF(A40="","",'M Q'!T38)</f>
        <v/>
      </c>
      <c r="G40" s="30"/>
      <c r="H40" s="15"/>
      <c r="M40" s="74"/>
      <c r="N40" s="74"/>
      <c r="O40" s="74"/>
      <c r="P40" s="74"/>
    </row>
    <row r="41" spans="1:17" s="73" customFormat="1" ht="26.1" customHeight="1">
      <c r="A41" s="35" t="str">
        <f>IF(INFO!B8&gt;34,35,"")</f>
        <v/>
      </c>
      <c r="B41" s="20" t="str">
        <f>IF(A41="","",'M Q'!B39)</f>
        <v/>
      </c>
      <c r="C41" s="20"/>
      <c r="D41" s="40" t="str">
        <f>IF(A41="","",'M Q'!C39)</f>
        <v/>
      </c>
      <c r="E41" s="20" t="str">
        <f>IF(A41="","",'M Q'!S39)</f>
        <v/>
      </c>
      <c r="F41" s="41" t="str">
        <f>IF(A41="","",'M Q'!T39)</f>
        <v/>
      </c>
      <c r="G41" s="30"/>
      <c r="H41" s="15"/>
      <c r="M41" s="74"/>
      <c r="N41" s="74"/>
      <c r="O41" s="74"/>
      <c r="P41" s="74"/>
    </row>
    <row r="42" spans="1:17" s="73" customFormat="1" ht="26.1" customHeight="1">
      <c r="A42" s="35" t="str">
        <f>IF(INFO!B8&gt;35,36,"")</f>
        <v/>
      </c>
      <c r="B42" s="20" t="str">
        <f>IF(A42="","",'M Q'!B40)</f>
        <v/>
      </c>
      <c r="C42" s="20"/>
      <c r="D42" s="40" t="str">
        <f>IF(A42="","",'M Q'!C40)</f>
        <v/>
      </c>
      <c r="E42" s="20" t="str">
        <f>IF(A42="","",'M Q'!S40)</f>
        <v/>
      </c>
      <c r="F42" s="41" t="str">
        <f>IF(A42="","",'M Q'!T40)</f>
        <v/>
      </c>
      <c r="G42" s="30"/>
      <c r="H42" s="15"/>
      <c r="M42" s="74"/>
      <c r="N42" s="74"/>
      <c r="O42" s="74"/>
      <c r="P42" s="74"/>
    </row>
    <row r="43" spans="1:17" s="73" customFormat="1" ht="26.1" customHeight="1">
      <c r="A43" s="35" t="str">
        <f>IF(INFO!B8&gt;36,37,"")</f>
        <v/>
      </c>
      <c r="B43" s="20" t="str">
        <f>IF(A43="","",'M Q'!B41)</f>
        <v/>
      </c>
      <c r="C43" s="20"/>
      <c r="D43" s="40" t="str">
        <f>IF(A43="","",'M Q'!C41)</f>
        <v/>
      </c>
      <c r="E43" s="20" t="str">
        <f>IF(A43="","",'M Q'!S41)</f>
        <v/>
      </c>
      <c r="F43" s="41" t="str">
        <f>IF(A43="","",'M Q'!T41)</f>
        <v/>
      </c>
      <c r="G43" s="30"/>
      <c r="H43" s="15"/>
      <c r="M43" s="74"/>
      <c r="N43" s="74"/>
      <c r="O43" s="74"/>
      <c r="P43" s="74"/>
    </row>
    <row r="44" spans="1:17" s="73" customFormat="1" ht="26.1" customHeight="1">
      <c r="A44" s="35" t="str">
        <f>IF(INFO!B8&gt;37,38,"")</f>
        <v/>
      </c>
      <c r="B44" s="20" t="str">
        <f>IF(A44="","",'M Q'!B42)</f>
        <v/>
      </c>
      <c r="C44" s="20"/>
      <c r="D44" s="40" t="str">
        <f>IF(A44="","",'M Q'!C42)</f>
        <v/>
      </c>
      <c r="E44" s="20" t="str">
        <f>IF(A44="","",'M Q'!S42)</f>
        <v/>
      </c>
      <c r="F44" s="41" t="str">
        <f>IF(A44="","",'M Q'!T42)</f>
        <v/>
      </c>
      <c r="G44" s="30"/>
      <c r="H44" s="15"/>
      <c r="M44" s="74"/>
      <c r="N44" s="74"/>
      <c r="O44" s="74"/>
      <c r="P44" s="74"/>
    </row>
    <row r="45" spans="1:17" s="73" customFormat="1" ht="26.1" customHeight="1">
      <c r="A45" s="35" t="str">
        <f>IF(INFO!B8&gt;38,39,"")</f>
        <v/>
      </c>
      <c r="B45" s="20" t="str">
        <f>IF(A45="","",'M Q'!B43)</f>
        <v/>
      </c>
      <c r="C45" s="20"/>
      <c r="D45" s="40" t="str">
        <f>IF(A45="","",'M Q'!C43)</f>
        <v/>
      </c>
      <c r="E45" s="20" t="str">
        <f>IF(A45="","",'M Q'!S43)</f>
        <v/>
      </c>
      <c r="F45" s="41" t="str">
        <f>IF(A45="","",'M Q'!T43)</f>
        <v/>
      </c>
      <c r="G45" s="30"/>
      <c r="H45" s="15"/>
      <c r="M45" s="74"/>
      <c r="N45" s="74"/>
      <c r="O45" s="74"/>
      <c r="P45" s="74"/>
    </row>
    <row r="46" spans="1:17" s="73" customFormat="1" ht="26.1" customHeight="1">
      <c r="A46" s="35" t="str">
        <f>IF(INFO!B8&gt;39,40,"")</f>
        <v/>
      </c>
      <c r="B46" s="20" t="str">
        <f>IF(A46="","",'M Q'!B44)</f>
        <v/>
      </c>
      <c r="C46" s="20"/>
      <c r="D46" s="40" t="str">
        <f>IF(A46="","",'M Q'!C44)</f>
        <v/>
      </c>
      <c r="E46" s="20" t="str">
        <f>IF(A46="","",'M Q'!S44)</f>
        <v/>
      </c>
      <c r="F46" s="41" t="str">
        <f>IF(A46="","",'M Q'!T44)</f>
        <v/>
      </c>
      <c r="G46" s="30"/>
      <c r="H46" s="15"/>
      <c r="M46" s="74"/>
      <c r="N46" s="74"/>
      <c r="O46" s="74"/>
      <c r="P46" s="74"/>
    </row>
    <row r="47" spans="1:17" s="73" customFormat="1" ht="30" customHeight="1">
      <c r="N47" s="74"/>
      <c r="O47" s="74"/>
      <c r="P47" s="74"/>
      <c r="Q47" s="74"/>
    </row>
    <row r="48" spans="1:17" s="73" customFormat="1" ht="30" customHeight="1">
      <c r="N48" s="74"/>
      <c r="O48" s="74"/>
      <c r="P48" s="74"/>
      <c r="Q48" s="74"/>
    </row>
    <row r="49" spans="14:17" s="73" customFormat="1" ht="30" customHeight="1">
      <c r="N49" s="74"/>
      <c r="O49" s="74"/>
      <c r="P49" s="74"/>
      <c r="Q49" s="74"/>
    </row>
    <row r="50" spans="14:17" s="73" customFormat="1" ht="30" customHeight="1">
      <c r="N50" s="74"/>
      <c r="O50" s="74"/>
      <c r="P50" s="74"/>
      <c r="Q50" s="74"/>
    </row>
    <row r="51" spans="14:17" s="73" customFormat="1" ht="30" customHeight="1">
      <c r="N51" s="74"/>
      <c r="O51" s="74"/>
      <c r="P51" s="74"/>
      <c r="Q51" s="74"/>
    </row>
    <row r="52" spans="14:17" s="73" customFormat="1" ht="30" customHeight="1">
      <c r="N52" s="74"/>
      <c r="O52" s="74"/>
      <c r="P52" s="74"/>
      <c r="Q52" s="74"/>
    </row>
    <row r="53" spans="14:17" s="73" customFormat="1" ht="30" customHeight="1">
      <c r="N53" s="74"/>
      <c r="O53" s="74"/>
      <c r="P53" s="74"/>
      <c r="Q53" s="74"/>
    </row>
    <row r="54" spans="14:17" s="73" customFormat="1" ht="30" customHeight="1">
      <c r="N54" s="74"/>
      <c r="O54" s="74"/>
      <c r="P54" s="74"/>
      <c r="Q54" s="74"/>
    </row>
    <row r="55" spans="14:17" s="73" customFormat="1" ht="30" customHeight="1">
      <c r="N55" s="74"/>
      <c r="O55" s="74"/>
      <c r="P55" s="74"/>
      <c r="Q55" s="74"/>
    </row>
    <row r="56" spans="14:17" s="73" customFormat="1" ht="30" customHeight="1">
      <c r="N56" s="74"/>
      <c r="O56" s="74"/>
      <c r="P56" s="74"/>
      <c r="Q56" s="74"/>
    </row>
    <row r="57" spans="14:17" s="73" customFormat="1" ht="30" customHeight="1">
      <c r="N57" s="74"/>
      <c r="O57" s="74"/>
      <c r="P57" s="74"/>
      <c r="Q57" s="74"/>
    </row>
    <row r="58" spans="14:17" s="73" customFormat="1" ht="30" customHeight="1">
      <c r="N58" s="74"/>
      <c r="O58" s="74"/>
      <c r="P58" s="74"/>
      <c r="Q58" s="74"/>
    </row>
    <row r="59" spans="14:17" s="73" customFormat="1" ht="30" customHeight="1">
      <c r="N59" s="74"/>
      <c r="O59" s="74"/>
      <c r="P59" s="74"/>
      <c r="Q59" s="74"/>
    </row>
    <row r="60" spans="14:17" s="73" customFormat="1" ht="30" customHeight="1">
      <c r="N60" s="74"/>
      <c r="O60" s="74"/>
      <c r="P60" s="74"/>
      <c r="Q60" s="74"/>
    </row>
    <row r="61" spans="14:17" s="73" customFormat="1" ht="30" customHeight="1">
      <c r="N61" s="74"/>
      <c r="O61" s="74"/>
      <c r="P61" s="74"/>
      <c r="Q61" s="74"/>
    </row>
    <row r="62" spans="14:17" s="73" customFormat="1" ht="30" customHeight="1">
      <c r="N62" s="74"/>
      <c r="O62" s="74"/>
      <c r="P62" s="74"/>
      <c r="Q62" s="74"/>
    </row>
    <row r="63" spans="14:17" s="73" customFormat="1" ht="30" customHeight="1">
      <c r="N63" s="74"/>
      <c r="O63" s="74"/>
      <c r="P63" s="74"/>
      <c r="Q63" s="74"/>
    </row>
    <row r="64" spans="14:17" s="73" customFormat="1" ht="30" customHeight="1">
      <c r="N64" s="74"/>
      <c r="O64" s="74"/>
      <c r="P64" s="74"/>
      <c r="Q64" s="74"/>
    </row>
    <row r="65" spans="14:17" s="73" customFormat="1" ht="30" customHeight="1">
      <c r="N65" s="74"/>
      <c r="O65" s="74"/>
      <c r="P65" s="74"/>
      <c r="Q65" s="74"/>
    </row>
    <row r="66" spans="14:17" s="73" customFormat="1" ht="30" customHeight="1"/>
    <row r="67" spans="14:17" s="73" customFormat="1" ht="30" customHeight="1"/>
    <row r="68" spans="14:17" s="73" customFormat="1" ht="30" customHeight="1"/>
    <row r="69" spans="14:17" s="73" customFormat="1" ht="30" customHeight="1"/>
    <row r="70" spans="14:17" s="73" customFormat="1" ht="30" customHeight="1"/>
    <row r="71" spans="14:17" s="73" customFormat="1" ht="30" customHeight="1"/>
    <row r="72" spans="14:17" s="73" customFormat="1" ht="30" customHeight="1"/>
    <row r="73" spans="14:17" s="73" customFormat="1" ht="30" customHeight="1"/>
    <row r="74" spans="14:17" s="73" customFormat="1" ht="30" customHeight="1"/>
    <row r="75" spans="14:17" s="73" customFormat="1" ht="30" customHeight="1"/>
    <row r="76" spans="14:17" s="73" customFormat="1" ht="30" customHeight="1"/>
    <row r="77" spans="14:17" s="73" customFormat="1" ht="30" customHeight="1"/>
    <row r="78" spans="14:17" s="73" customFormat="1" ht="30" customHeight="1"/>
    <row r="79" spans="14:17" s="73" customFormat="1" ht="30" customHeight="1"/>
    <row r="80" spans="14:17" s="73" customFormat="1" ht="30" customHeight="1"/>
    <row r="81" s="73" customFormat="1" ht="30" customHeight="1"/>
    <row r="82" s="73" customFormat="1" ht="30" customHeight="1"/>
    <row r="83" s="73" customFormat="1" ht="30" customHeight="1"/>
    <row r="84" s="73" customFormat="1" ht="30" customHeight="1"/>
    <row r="85" s="73" customFormat="1" ht="30" customHeight="1"/>
    <row r="86" s="73" customFormat="1" ht="30" customHeight="1"/>
    <row r="87" s="73" customFormat="1" ht="30" customHeight="1"/>
    <row r="88" s="73" customFormat="1" ht="30" customHeight="1"/>
    <row r="89" s="73" customFormat="1" ht="30" customHeight="1"/>
    <row r="90" s="73" customFormat="1" ht="30" customHeight="1"/>
    <row r="91" s="73" customFormat="1" ht="30" customHeight="1"/>
    <row r="92" s="73" customFormat="1" ht="30" customHeight="1"/>
    <row r="93" s="73" customFormat="1" ht="30" customHeight="1"/>
    <row r="94" s="73" customFormat="1" ht="30" customHeight="1"/>
    <row r="95" s="73" customFormat="1" ht="30" customHeight="1"/>
    <row r="96" s="73" customFormat="1" ht="30" customHeight="1"/>
    <row r="97" s="73" customFormat="1" ht="30" customHeight="1"/>
    <row r="98" s="73" customFormat="1" ht="30" customHeight="1"/>
    <row r="99" s="73" customFormat="1" ht="30" customHeight="1"/>
    <row r="100" s="73" customFormat="1" ht="30" customHeight="1"/>
    <row r="101" s="73" customFormat="1" ht="30" customHeight="1"/>
    <row r="102" s="73" customFormat="1" ht="30" customHeight="1"/>
    <row r="103" s="73" customFormat="1" ht="30" customHeight="1"/>
    <row r="104" s="73" customFormat="1" ht="30" customHeight="1"/>
    <row r="105" s="73" customFormat="1" ht="30" customHeight="1"/>
    <row r="106" s="73" customFormat="1" ht="30" customHeight="1"/>
    <row r="107" s="73" customFormat="1" ht="30" customHeight="1"/>
    <row r="108" s="73" customFormat="1" ht="30" customHeight="1"/>
    <row r="109" s="73" customFormat="1" ht="30" customHeight="1"/>
    <row r="110" s="73" customFormat="1" ht="30" customHeight="1"/>
    <row r="111" s="73" customFormat="1" ht="30" customHeight="1"/>
    <row r="112" s="73" customFormat="1" ht="30" customHeight="1"/>
    <row r="113" s="73" customFormat="1" ht="30" customHeight="1"/>
    <row r="114" s="73" customFormat="1" ht="30" customHeight="1"/>
    <row r="115" s="73" customFormat="1" ht="30" customHeight="1"/>
    <row r="116" s="73" customFormat="1" ht="30" customHeight="1"/>
    <row r="117" s="73" customFormat="1" ht="30" customHeight="1"/>
    <row r="118" s="73" customFormat="1" ht="30" customHeight="1"/>
    <row r="119" s="73" customFormat="1" ht="30" customHeight="1"/>
    <row r="120" s="73" customFormat="1" ht="30" customHeight="1"/>
    <row r="121" s="73" customFormat="1" ht="30" customHeight="1"/>
    <row r="122" s="73" customFormat="1" ht="30" customHeight="1"/>
    <row r="123" s="73" customFormat="1" ht="30" customHeight="1"/>
    <row r="124" s="73" customFormat="1" ht="30" customHeight="1"/>
    <row r="125" s="73" customFormat="1" ht="30" customHeight="1"/>
    <row r="126" s="73" customFormat="1" ht="30" customHeight="1"/>
    <row r="127" s="73" customFormat="1" ht="30" customHeight="1"/>
    <row r="128" s="73" customFormat="1" ht="30" customHeight="1"/>
    <row r="129" s="73" customFormat="1" ht="30" customHeight="1"/>
    <row r="130" s="73" customFormat="1" ht="30" customHeight="1"/>
    <row r="131" s="73" customFormat="1" ht="23.25"/>
    <row r="132" s="73" customFormat="1" ht="23.25"/>
    <row r="133" s="73" customFormat="1" ht="23.25"/>
    <row r="134" s="73" customFormat="1" ht="23.25"/>
    <row r="135" s="73" customFormat="1" ht="23.25"/>
    <row r="136" s="73" customFormat="1" ht="23.25"/>
    <row r="137" s="73" customFormat="1" ht="23.25"/>
    <row r="138" s="73" customFormat="1" ht="23.25"/>
    <row r="139" s="73" customFormat="1" ht="23.25"/>
    <row r="140" s="73" customFormat="1" ht="23.25"/>
    <row r="141" s="73" customFormat="1" ht="23.25"/>
    <row r="142" s="73" customFormat="1" ht="23.25"/>
    <row r="143" s="73" customFormat="1" ht="23.25"/>
    <row r="144" s="73" customFormat="1" ht="23.25"/>
    <row r="145" s="73" customFormat="1" ht="23.25"/>
    <row r="146" s="73" customFormat="1" ht="23.25"/>
    <row r="147" s="73" customFormat="1" ht="23.25"/>
    <row r="148" s="73" customFormat="1" ht="23.25"/>
    <row r="149" s="73" customFormat="1" ht="23.25"/>
    <row r="150" s="73" customFormat="1" ht="23.25"/>
    <row r="151" s="73" customFormat="1" ht="23.25"/>
    <row r="152" s="73" customFormat="1" ht="23.25"/>
    <row r="153" s="73" customFormat="1" ht="23.25"/>
    <row r="154" s="73" customFormat="1" ht="23.25"/>
    <row r="155" s="73" customFormat="1" ht="23.25"/>
    <row r="156" s="73" customFormat="1" ht="23.25"/>
    <row r="157" s="73" customFormat="1" ht="23.25"/>
    <row r="158" s="73" customFormat="1" ht="23.25"/>
    <row r="159" s="73" customFormat="1" ht="23.25"/>
  </sheetData>
  <sheetProtection formatColumns="0" selectLockedCells="1"/>
  <mergeCells count="8">
    <mergeCell ref="J23:M23"/>
    <mergeCell ref="A1:H3"/>
    <mergeCell ref="A4:H4"/>
    <mergeCell ref="G11:G14"/>
    <mergeCell ref="G7:G8"/>
    <mergeCell ref="G9:G10"/>
    <mergeCell ref="G15:G22"/>
    <mergeCell ref="J10:M10"/>
  </mergeCells>
  <phoneticPr fontId="2"/>
  <conditionalFormatting sqref="A7:F46 J11:M22">
    <cfRule type="cellIs" dxfId="2" priority="1" operator="equal">
      <formula>0</formula>
    </cfRule>
    <cfRule type="containsErrors" dxfId="1" priority="3">
      <formula>ISERROR(A7)</formula>
    </cfRule>
    <cfRule type="containsBlanks" dxfId="0" priority="4">
      <formula>LEN(TRIM(A7))=0</formula>
    </cfRule>
  </conditionalFormatting>
  <printOptions horizontalCentered="1" verticalCentered="1"/>
  <pageMargins left="0" right="0" top="0" bottom="0" header="0.19685039370078741" footer="0.19685039370078741"/>
  <pageSetup paperSize="9" scale="62" orientation="portrait" horizontalDpi="4294967294" vertic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INFO</vt:lpstr>
      <vt:lpstr>saisie</vt:lpstr>
      <vt:lpstr>M Q</vt:lpstr>
      <vt:lpstr>Clb Q</vt:lpstr>
      <vt:lpstr>P.F.</vt:lpstr>
      <vt:lpstr>PALMARES</vt:lpstr>
      <vt:lpstr>'Clb Q'!Zone_d_impression</vt:lpstr>
      <vt:lpstr>INFO!Zone_d_impression</vt:lpstr>
      <vt:lpstr>'M Q'!Zone_d_impression</vt:lpstr>
      <vt:lpstr>P.F.!Zone_d_impression</vt:lpstr>
      <vt:lpstr>PALMARES!Zone_d_impression</vt:lpstr>
      <vt:lpstr>saisie!Zone_d_impression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 *</dc:creator>
  <cp:lastModifiedBy>Sébastien PONS</cp:lastModifiedBy>
  <cp:lastPrinted>2019-02-09T11:51:06Z</cp:lastPrinted>
  <dcterms:created xsi:type="dcterms:W3CDTF">2004-11-19T11:01:00Z</dcterms:created>
  <dcterms:modified xsi:type="dcterms:W3CDTF">2026-07-30T21:10:06Z</dcterms:modified>
</cp:coreProperties>
</file>