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720" tabRatio="903" activeTab="5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P.F.!$A$1:$T$104</definedName>
    <definedName name="_xlnm.Print_Area" localSheetId="5">PALMARES!$A$1:$H$46</definedName>
    <definedName name="_xlnm.Print_Area" localSheetId="1">saisie!$A$1:$U$44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/>
  <c r="M6"/>
  <c r="H6"/>
  <c r="R7"/>
  <c r="M7"/>
  <c r="H7"/>
  <c r="R8"/>
  <c r="M8"/>
  <c r="H8"/>
  <c r="R9"/>
  <c r="M9"/>
  <c r="H9"/>
  <c r="R10"/>
  <c r="M10"/>
  <c r="H10"/>
  <c r="R11"/>
  <c r="M11"/>
  <c r="H11"/>
  <c r="R12"/>
  <c r="M12"/>
  <c r="H12"/>
  <c r="W12" s="1"/>
  <c r="R13"/>
  <c r="M13"/>
  <c r="H13"/>
  <c r="R14"/>
  <c r="M14"/>
  <c r="H14"/>
  <c r="W14" s="1"/>
  <c r="R15"/>
  <c r="M15"/>
  <c r="H15"/>
  <c r="R16"/>
  <c r="M16"/>
  <c r="H16"/>
  <c r="R17"/>
  <c r="M17"/>
  <c r="H17"/>
  <c r="R18"/>
  <c r="M18"/>
  <c r="H18"/>
  <c r="R19"/>
  <c r="M19"/>
  <c r="H19"/>
  <c r="W19" s="1"/>
  <c r="R20"/>
  <c r="M20"/>
  <c r="H20"/>
  <c r="R21"/>
  <c r="M21"/>
  <c r="H21"/>
  <c r="R22"/>
  <c r="M22"/>
  <c r="H22"/>
  <c r="R23"/>
  <c r="M23"/>
  <c r="H23"/>
  <c r="W23" s="1"/>
  <c r="R24"/>
  <c r="M24"/>
  <c r="H24"/>
  <c r="R25"/>
  <c r="M25"/>
  <c r="H25"/>
  <c r="R26"/>
  <c r="M26"/>
  <c r="H26"/>
  <c r="T26" s="1"/>
  <c r="R27"/>
  <c r="M27"/>
  <c r="H27"/>
  <c r="W27" s="1"/>
  <c r="R28"/>
  <c r="M28"/>
  <c r="H28"/>
  <c r="R29"/>
  <c r="M29"/>
  <c r="H29"/>
  <c r="R30"/>
  <c r="M30"/>
  <c r="H30"/>
  <c r="R31"/>
  <c r="M31"/>
  <c r="H31"/>
  <c r="R32"/>
  <c r="M32"/>
  <c r="H32"/>
  <c r="R33"/>
  <c r="M33"/>
  <c r="H33"/>
  <c r="R34"/>
  <c r="M34"/>
  <c r="H34"/>
  <c r="W34" s="1"/>
  <c r="R35"/>
  <c r="M35"/>
  <c r="H35"/>
  <c r="R36"/>
  <c r="M36"/>
  <c r="H36"/>
  <c r="R37"/>
  <c r="M37"/>
  <c r="H37"/>
  <c r="R38"/>
  <c r="M38"/>
  <c r="H38"/>
  <c r="R39"/>
  <c r="M39"/>
  <c r="H39"/>
  <c r="W39" s="1"/>
  <c r="R40"/>
  <c r="M40"/>
  <c r="H40"/>
  <c r="R41"/>
  <c r="M41"/>
  <c r="H41"/>
  <c r="R42"/>
  <c r="M42"/>
  <c r="H42"/>
  <c r="W42"/>
  <c r="R43"/>
  <c r="M43"/>
  <c r="H43"/>
  <c r="W43" s="1"/>
  <c r="R44"/>
  <c r="T44" s="1"/>
  <c r="M44"/>
  <c r="H44"/>
  <c r="R5"/>
  <c r="M5"/>
  <c r="H5"/>
  <c r="A1"/>
  <c r="A9" i="37"/>
  <c r="A16" i="21"/>
  <c r="K8" i="38"/>
  <c r="K9"/>
  <c r="K10"/>
  <c r="K11"/>
  <c r="K12"/>
  <c r="L8"/>
  <c r="A9" i="21"/>
  <c r="A17"/>
  <c r="K18" i="38"/>
  <c r="K19"/>
  <c r="K20"/>
  <c r="K21"/>
  <c r="K22"/>
  <c r="L18"/>
  <c r="A60"/>
  <c r="A61"/>
  <c r="A62"/>
  <c r="B60" s="1"/>
  <c r="A63"/>
  <c r="A64"/>
  <c r="J60"/>
  <c r="J61"/>
  <c r="J62"/>
  <c r="J63"/>
  <c r="J64"/>
  <c r="A71"/>
  <c r="A72"/>
  <c r="A73"/>
  <c r="A74"/>
  <c r="A75"/>
  <c r="A76"/>
  <c r="A77"/>
  <c r="J71"/>
  <c r="J72"/>
  <c r="J73"/>
  <c r="J74"/>
  <c r="J75"/>
  <c r="J76"/>
  <c r="J77"/>
  <c r="F84"/>
  <c r="F85"/>
  <c r="F86"/>
  <c r="F87"/>
  <c r="F88"/>
  <c r="F89"/>
  <c r="F90"/>
  <c r="U5" i="39"/>
  <c r="U6"/>
  <c r="U7"/>
  <c r="U8"/>
  <c r="U9"/>
  <c r="U10"/>
  <c r="U11"/>
  <c r="U12"/>
  <c r="U13"/>
  <c r="U14"/>
  <c r="U15"/>
  <c r="U16"/>
  <c r="U17"/>
  <c r="T18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T42"/>
  <c r="U42"/>
  <c r="U43"/>
  <c r="U44"/>
  <c r="L16" i="37"/>
  <c r="J16" s="1"/>
  <c r="J18" i="38"/>
  <c r="J19"/>
  <c r="J20"/>
  <c r="J21"/>
  <c r="J22"/>
  <c r="H18"/>
  <c r="A19"/>
  <c r="A20"/>
  <c r="A18"/>
  <c r="A21"/>
  <c r="A22"/>
  <c r="B18"/>
  <c r="A12" i="21"/>
  <c r="A13"/>
  <c r="L17" i="37"/>
  <c r="K17" s="1"/>
  <c r="T18" i="38"/>
  <c r="T19"/>
  <c r="T20"/>
  <c r="T21"/>
  <c r="T22"/>
  <c r="R18"/>
  <c r="A8" i="21"/>
  <c r="L18" i="37"/>
  <c r="J18" s="1"/>
  <c r="A29" i="38"/>
  <c r="A30"/>
  <c r="A31"/>
  <c r="A32"/>
  <c r="A33"/>
  <c r="B29"/>
  <c r="J29"/>
  <c r="J30"/>
  <c r="J31"/>
  <c r="J32"/>
  <c r="J33"/>
  <c r="H29"/>
  <c r="A7" i="21"/>
  <c r="A18"/>
  <c r="L19" i="37"/>
  <c r="J19" s="1"/>
  <c r="K29" i="38"/>
  <c r="K30"/>
  <c r="K31"/>
  <c r="K32"/>
  <c r="K33"/>
  <c r="L29"/>
  <c r="A14" i="21"/>
  <c r="L20" i="37"/>
  <c r="J20" s="1"/>
  <c r="J40" i="38"/>
  <c r="J41"/>
  <c r="J42"/>
  <c r="J43"/>
  <c r="J44"/>
  <c r="H40"/>
  <c r="A41"/>
  <c r="A42"/>
  <c r="A40"/>
  <c r="A43"/>
  <c r="A44"/>
  <c r="B40"/>
  <c r="A15" i="21"/>
  <c r="L21" i="37"/>
  <c r="J21" s="1"/>
  <c r="T40" i="38"/>
  <c r="T41"/>
  <c r="T42"/>
  <c r="T43"/>
  <c r="T44"/>
  <c r="R40"/>
  <c r="A6" i="21"/>
  <c r="A19"/>
  <c r="K42" i="38"/>
  <c r="K41"/>
  <c r="L40"/>
  <c r="L22" i="37"/>
  <c r="J22" s="1"/>
  <c r="A8" i="38"/>
  <c r="A9"/>
  <c r="A10"/>
  <c r="A11"/>
  <c r="A12"/>
  <c r="B8"/>
  <c r="A20" i="21"/>
  <c r="L15" i="37"/>
  <c r="M15" s="1"/>
  <c r="T60" i="38"/>
  <c r="T61"/>
  <c r="T62"/>
  <c r="T63"/>
  <c r="T64"/>
  <c r="K61"/>
  <c r="K62"/>
  <c r="K60"/>
  <c r="K63"/>
  <c r="K64"/>
  <c r="K40"/>
  <c r="K43"/>
  <c r="K44"/>
  <c r="A11" i="21"/>
  <c r="A10"/>
  <c r="K50" i="38"/>
  <c r="K51"/>
  <c r="K52"/>
  <c r="K53"/>
  <c r="K54"/>
  <c r="A50"/>
  <c r="A51"/>
  <c r="A52"/>
  <c r="A53"/>
  <c r="A54"/>
  <c r="B50"/>
  <c r="L11" i="37"/>
  <c r="K11" s="1"/>
  <c r="A11"/>
  <c r="T50" i="38"/>
  <c r="T51"/>
  <c r="T52"/>
  <c r="T53"/>
  <c r="T54"/>
  <c r="T8"/>
  <c r="T9"/>
  <c r="T10"/>
  <c r="T11"/>
  <c r="T12"/>
  <c r="R8"/>
  <c r="J8"/>
  <c r="J9"/>
  <c r="J10"/>
  <c r="J11"/>
  <c r="J12"/>
  <c r="H8"/>
  <c r="A12" i="37"/>
  <c r="A13"/>
  <c r="A14"/>
  <c r="A15"/>
  <c r="A16"/>
  <c r="A17"/>
  <c r="A18"/>
  <c r="A19"/>
  <c r="A20"/>
  <c r="A21"/>
  <c r="E21" s="1"/>
  <c r="A22"/>
  <c r="A24"/>
  <c r="A22" i="21"/>
  <c r="A25" i="37"/>
  <c r="A23" i="21"/>
  <c r="A26" i="37"/>
  <c r="A24" i="21"/>
  <c r="A27" i="37"/>
  <c r="E27" s="1"/>
  <c r="A25" i="21"/>
  <c r="A28" i="37"/>
  <c r="F28" s="1"/>
  <c r="A26" i="21"/>
  <c r="A29" i="37"/>
  <c r="F29" s="1"/>
  <c r="A27" i="21"/>
  <c r="A30" i="37"/>
  <c r="D30" s="1"/>
  <c r="A28" i="21"/>
  <c r="A31" i="37"/>
  <c r="F31" s="1"/>
  <c r="A29" i="21"/>
  <c r="A32" i="37"/>
  <c r="D32" s="1"/>
  <c r="A30" i="21"/>
  <c r="A33" i="37"/>
  <c r="F33" s="1"/>
  <c r="A31" i="21"/>
  <c r="A34" i="37"/>
  <c r="E34" s="1"/>
  <c r="A32" i="21"/>
  <c r="A35" i="37"/>
  <c r="B35" s="1"/>
  <c r="A33" i="21"/>
  <c r="A36" i="37"/>
  <c r="F36" s="1"/>
  <c r="A34" i="21"/>
  <c r="A37" i="37"/>
  <c r="E37" s="1"/>
  <c r="A35" i="21"/>
  <c r="A38" i="37"/>
  <c r="F38" s="1"/>
  <c r="A36" i="21"/>
  <c r="A39" i="37"/>
  <c r="F39" s="1"/>
  <c r="A37" i="21"/>
  <c r="A40" i="37"/>
  <c r="D40" s="1"/>
  <c r="A38" i="21"/>
  <c r="A41" i="37"/>
  <c r="F41" s="1"/>
  <c r="A39" i="21"/>
  <c r="A42" i="37"/>
  <c r="F42" s="1"/>
  <c r="A40" i="21"/>
  <c r="A43" i="37"/>
  <c r="B43" s="1"/>
  <c r="A41" i="21"/>
  <c r="A44" i="37"/>
  <c r="F44" s="1"/>
  <c r="A42" i="21"/>
  <c r="A45" i="37"/>
  <c r="B45" s="1"/>
  <c r="A43" i="21"/>
  <c r="A46" i="37"/>
  <c r="E46" s="1"/>
  <c r="A44" i="21"/>
  <c r="A23" i="37"/>
  <c r="A21" i="21"/>
  <c r="A8" i="37"/>
  <c r="K71" i="38"/>
  <c r="K72"/>
  <c r="K73"/>
  <c r="K74"/>
  <c r="K75"/>
  <c r="K76"/>
  <c r="K77"/>
  <c r="T71"/>
  <c r="T72"/>
  <c r="T73"/>
  <c r="T74"/>
  <c r="T75"/>
  <c r="T76"/>
  <c r="T77"/>
  <c r="F98"/>
  <c r="F99"/>
  <c r="F100"/>
  <c r="F101"/>
  <c r="F102"/>
  <c r="F103"/>
  <c r="F104"/>
  <c r="O98"/>
  <c r="O99"/>
  <c r="O100"/>
  <c r="O101"/>
  <c r="O102"/>
  <c r="O103"/>
  <c r="O104"/>
  <c r="J50"/>
  <c r="J51"/>
  <c r="J52"/>
  <c r="J53"/>
  <c r="J54"/>
  <c r="H50"/>
  <c r="A10" i="37"/>
  <c r="A4"/>
  <c r="A1"/>
  <c r="Q12" i="22"/>
  <c r="L37" i="38" s="1"/>
  <c r="S18" i="22"/>
  <c r="L18"/>
  <c r="B37" i="38" s="1"/>
  <c r="N8" i="22"/>
  <c r="A2" i="21"/>
  <c r="B1" i="22"/>
  <c r="G4"/>
  <c r="G10"/>
  <c r="B16"/>
  <c r="G16"/>
  <c r="B22"/>
  <c r="G22"/>
  <c r="A1" i="38"/>
  <c r="T29"/>
  <c r="T30"/>
  <c r="T31"/>
  <c r="T32"/>
  <c r="T33"/>
  <c r="R29"/>
  <c r="O84"/>
  <c r="O85"/>
  <c r="O86"/>
  <c r="O87"/>
  <c r="O88"/>
  <c r="O89"/>
  <c r="O90"/>
  <c r="D27" i="37" l="1"/>
  <c r="W33" i="39"/>
  <c r="T14"/>
  <c r="T34"/>
  <c r="W32"/>
  <c r="T28"/>
  <c r="T24"/>
  <c r="W20"/>
  <c r="T16"/>
  <c r="T12"/>
  <c r="W26"/>
  <c r="T22"/>
  <c r="W18"/>
  <c r="B32" i="37"/>
  <c r="M98" i="38"/>
  <c r="W16" i="39"/>
  <c r="T31"/>
  <c r="T15"/>
  <c r="W38"/>
  <c r="W30"/>
  <c r="W22"/>
  <c r="T27"/>
  <c r="W36"/>
  <c r="W28"/>
  <c r="T20"/>
  <c r="T32"/>
  <c r="T41"/>
  <c r="T37"/>
  <c r="W25"/>
  <c r="W17"/>
  <c r="L60" i="38"/>
  <c r="T30" i="39"/>
  <c r="W44"/>
  <c r="T40"/>
  <c r="T21"/>
  <c r="B46" i="37"/>
  <c r="F40"/>
  <c r="B41"/>
  <c r="B39"/>
  <c r="B31"/>
  <c r="D39"/>
  <c r="D35"/>
  <c r="T38" i="39"/>
  <c r="W40"/>
  <c r="W31"/>
  <c r="T29"/>
  <c r="W24"/>
  <c r="W15"/>
  <c r="T13"/>
  <c r="E39" i="37"/>
  <c r="W35" i="39"/>
  <c r="T33"/>
  <c r="T17"/>
  <c r="B37" i="37"/>
  <c r="B33"/>
  <c r="E33"/>
  <c r="T36" i="39"/>
  <c r="W37"/>
  <c r="T35"/>
  <c r="W21"/>
  <c r="T19"/>
  <c r="E29" i="37"/>
  <c r="W41" i="39"/>
  <c r="T39"/>
  <c r="T23"/>
  <c r="T25"/>
  <c r="B42" i="37"/>
  <c r="D37"/>
  <c r="T43" i="39"/>
  <c r="W29"/>
  <c r="W13"/>
  <c r="B29" i="37"/>
  <c r="E42"/>
  <c r="F34"/>
  <c r="D29"/>
  <c r="B30"/>
  <c r="B40"/>
  <c r="D42"/>
  <c r="E40"/>
  <c r="F37"/>
  <c r="D36"/>
  <c r="E32"/>
  <c r="T5" i="39"/>
  <c r="E45" i="37"/>
  <c r="R50" i="38"/>
  <c r="R60"/>
  <c r="E41" i="37"/>
  <c r="T10" i="39"/>
  <c r="B38" i="37"/>
  <c r="D45"/>
  <c r="D34"/>
  <c r="E31"/>
  <c r="D44"/>
  <c r="D31"/>
  <c r="F32"/>
  <c r="B34"/>
  <c r="D43"/>
  <c r="F45"/>
  <c r="H60" i="38"/>
  <c r="G98"/>
  <c r="D28" i="37"/>
  <c r="L50" i="38"/>
  <c r="G84"/>
  <c r="H71"/>
  <c r="B71"/>
  <c r="W5" i="39"/>
  <c r="T8"/>
  <c r="M84" i="38"/>
  <c r="L71"/>
  <c r="R71"/>
  <c r="W9" i="39"/>
  <c r="W10"/>
  <c r="T7"/>
  <c r="W11"/>
  <c r="T6"/>
  <c r="T9"/>
  <c r="W8"/>
  <c r="W7"/>
  <c r="T11"/>
  <c r="W6"/>
  <c r="J17" i="37"/>
  <c r="M16"/>
  <c r="K22"/>
  <c r="J15"/>
  <c r="K15"/>
  <c r="M22"/>
  <c r="K16"/>
  <c r="K21"/>
  <c r="M21"/>
  <c r="M11"/>
  <c r="M20"/>
  <c r="M17"/>
  <c r="K20"/>
  <c r="K19"/>
  <c r="D46"/>
  <c r="D38"/>
  <c r="F46"/>
  <c r="F30"/>
  <c r="B44"/>
  <c r="B36"/>
  <c r="D41"/>
  <c r="D33"/>
  <c r="M19"/>
  <c r="K18"/>
  <c r="E38"/>
  <c r="E30"/>
  <c r="F43"/>
  <c r="F35"/>
  <c r="F27"/>
  <c r="J11"/>
  <c r="B27"/>
  <c r="E43"/>
  <c r="E35"/>
  <c r="B28"/>
  <c r="E44"/>
  <c r="E36"/>
  <c r="E28"/>
  <c r="M18"/>
  <c r="M25" i="22"/>
  <c r="O25" s="1"/>
  <c r="D21" i="37"/>
  <c r="F21"/>
  <c r="B21"/>
  <c r="R7" i="22"/>
  <c r="T7" s="1"/>
  <c r="F23" i="37"/>
  <c r="E15"/>
  <c r="E17"/>
  <c r="E18"/>
  <c r="E22"/>
  <c r="E20"/>
  <c r="F20" s="1"/>
  <c r="E19"/>
  <c r="B19"/>
  <c r="F19"/>
  <c r="D19"/>
  <c r="E16"/>
  <c r="D16" s="1"/>
  <c r="F16"/>
  <c r="B34" i="39" l="1"/>
  <c r="B37"/>
  <c r="B21"/>
  <c r="B35"/>
  <c r="B28"/>
  <c r="B10"/>
  <c r="B17"/>
  <c r="B33"/>
  <c r="B20"/>
  <c r="B18"/>
  <c r="B15"/>
  <c r="B32"/>
  <c r="B22"/>
  <c r="B29"/>
  <c r="B8"/>
  <c r="B14"/>
  <c r="B11"/>
  <c r="B12"/>
  <c r="B9"/>
  <c r="B25"/>
  <c r="B41"/>
  <c r="B6"/>
  <c r="B5"/>
  <c r="B36"/>
  <c r="B30"/>
  <c r="B19"/>
  <c r="B26"/>
  <c r="B40"/>
  <c r="B31"/>
  <c r="B16"/>
  <c r="B13"/>
  <c r="B24"/>
  <c r="B27"/>
  <c r="B43"/>
  <c r="B38"/>
  <c r="B7"/>
  <c r="B23"/>
  <c r="B39"/>
  <c r="B42"/>
  <c r="B44"/>
  <c r="M18" i="22"/>
  <c r="O18" s="1"/>
  <c r="M6"/>
  <c r="O6" s="1"/>
  <c r="R18"/>
  <c r="T18" s="1"/>
  <c r="M12"/>
  <c r="O12" s="1"/>
  <c r="R8"/>
  <c r="T8" s="1"/>
  <c r="R14"/>
  <c r="T14" s="1"/>
  <c r="M20"/>
  <c r="O20" s="1"/>
  <c r="B20" i="37"/>
  <c r="F22"/>
  <c r="D22"/>
  <c r="B22"/>
  <c r="R20" i="22"/>
  <c r="T20" s="1"/>
  <c r="B16" i="37"/>
  <c r="D20"/>
  <c r="D18"/>
  <c r="F18"/>
  <c r="B18"/>
  <c r="R12" i="22"/>
  <c r="T12" s="1"/>
  <c r="M26"/>
  <c r="O26" s="1"/>
  <c r="R26"/>
  <c r="T26" s="1"/>
  <c r="M8"/>
  <c r="O8" s="1"/>
  <c r="R13"/>
  <c r="T13" s="1"/>
  <c r="R25"/>
  <c r="T25" s="1"/>
  <c r="M19"/>
  <c r="O19" s="1"/>
  <c r="M7"/>
  <c r="O7" s="1"/>
  <c r="B15" i="37"/>
  <c r="D15"/>
  <c r="F15"/>
  <c r="D17"/>
  <c r="B17"/>
  <c r="F17"/>
  <c r="M14" i="22"/>
  <c r="O14" s="1"/>
  <c r="M13"/>
  <c r="O13" s="1"/>
  <c r="R19"/>
  <c r="T19" s="1"/>
  <c r="R24"/>
  <c r="T24" s="1"/>
  <c r="R6"/>
  <c r="T6" s="1"/>
  <c r="M24"/>
  <c r="O24" s="1"/>
  <c r="R6" i="21" l="1"/>
  <c r="E5"/>
  <c r="C6" i="22" s="1"/>
  <c r="N7" i="21"/>
  <c r="B20" i="22" s="1"/>
  <c r="B28" i="38" s="1"/>
  <c r="M7" i="21"/>
  <c r="P35"/>
  <c r="F5"/>
  <c r="D6" i="22" s="1"/>
  <c r="J36" i="21"/>
  <c r="L36" s="1"/>
  <c r="B42"/>
  <c r="K7"/>
  <c r="D19" i="22" s="1"/>
  <c r="H22" i="21"/>
  <c r="I38"/>
  <c r="H10"/>
  <c r="C7"/>
  <c r="D16"/>
  <c r="L24" i="22" s="1"/>
  <c r="Q5" i="38" s="1"/>
  <c r="D30" i="21"/>
  <c r="T28"/>
  <c r="E36"/>
  <c r="G36" s="1"/>
  <c r="I5"/>
  <c r="B7" i="22" s="1"/>
  <c r="B6" i="38" s="1"/>
  <c r="K8" i="21"/>
  <c r="D25" i="22" s="1"/>
  <c r="F18" i="21"/>
  <c r="F14"/>
  <c r="N12" i="22" s="1"/>
  <c r="H15" i="21"/>
  <c r="P41"/>
  <c r="N43"/>
  <c r="H36"/>
  <c r="H19"/>
  <c r="M30"/>
  <c r="I20"/>
  <c r="Q7" i="22" s="1"/>
  <c r="G6" i="38" s="1"/>
  <c r="M42" i="21"/>
  <c r="H18"/>
  <c r="B31"/>
  <c r="E42"/>
  <c r="G42" s="1"/>
  <c r="E12"/>
  <c r="J40"/>
  <c r="L40" s="1"/>
  <c r="K13"/>
  <c r="N7" i="22" s="1"/>
  <c r="R39" i="21"/>
  <c r="N26"/>
  <c r="R30"/>
  <c r="B12"/>
  <c r="H4" i="22" s="1"/>
  <c r="G14" i="38" s="1"/>
  <c r="I14" i="21"/>
  <c r="L13" i="22" s="1"/>
  <c r="Q27" i="38" s="1"/>
  <c r="D14" i="21"/>
  <c r="L12" i="22" s="1"/>
  <c r="Q26" i="38" s="1"/>
  <c r="T40" i="21"/>
  <c r="R12"/>
  <c r="O38"/>
  <c r="Q38" s="1"/>
  <c r="E15"/>
  <c r="G15" s="1"/>
  <c r="T24"/>
  <c r="F26" i="37" s="1"/>
  <c r="N28" i="21"/>
  <c r="C9"/>
  <c r="R38"/>
  <c r="O9"/>
  <c r="H26" i="22" s="1"/>
  <c r="D24" i="21"/>
  <c r="O12"/>
  <c r="H27"/>
  <c r="K5"/>
  <c r="D7" i="22" s="1"/>
  <c r="O10" i="21"/>
  <c r="H20" i="22" s="1"/>
  <c r="O11" i="21"/>
  <c r="H14" i="22" s="1"/>
  <c r="N27" i="21"/>
  <c r="N12"/>
  <c r="G8" i="22" s="1"/>
  <c r="G17" i="38" s="1"/>
  <c r="N13" i="21"/>
  <c r="L8" i="22" s="1"/>
  <c r="B17" i="38" s="1"/>
  <c r="C25" i="21"/>
  <c r="N5"/>
  <c r="B8" i="22" s="1"/>
  <c r="B7" i="38" s="1"/>
  <c r="H5" i="21"/>
  <c r="K38"/>
  <c r="R8"/>
  <c r="I29"/>
  <c r="E9"/>
  <c r="M35"/>
  <c r="O40"/>
  <c r="Q40" s="1"/>
  <c r="B17"/>
  <c r="R22" i="22" s="1"/>
  <c r="L14" i="38" s="1"/>
  <c r="T23" i="21"/>
  <c r="F25" i="37" s="1"/>
  <c r="P37" i="21"/>
  <c r="M24"/>
  <c r="C29"/>
  <c r="D27"/>
  <c r="E41"/>
  <c r="G41" s="1"/>
  <c r="M15"/>
  <c r="I22"/>
  <c r="C13"/>
  <c r="C33"/>
  <c r="I35"/>
  <c r="C24"/>
  <c r="D26" i="37" s="1"/>
  <c r="J34" i="21"/>
  <c r="L34" s="1"/>
  <c r="T38"/>
  <c r="O29"/>
  <c r="Q29" s="1"/>
  <c r="D11"/>
  <c r="G12" i="22" s="1"/>
  <c r="L26" i="38" s="1"/>
  <c r="R11" i="21"/>
  <c r="F34"/>
  <c r="P26"/>
  <c r="F20"/>
  <c r="S6" i="22" s="1"/>
  <c r="N15" i="21"/>
  <c r="L20" i="22" s="1"/>
  <c r="B39" i="38" s="1"/>
  <c r="C20" i="21"/>
  <c r="H33"/>
  <c r="E7"/>
  <c r="K43"/>
  <c r="T21"/>
  <c r="N22"/>
  <c r="J28"/>
  <c r="L28" s="1"/>
  <c r="N32"/>
  <c r="I37"/>
  <c r="P34"/>
  <c r="O39"/>
  <c r="Q39" s="1"/>
  <c r="H31"/>
  <c r="P31"/>
  <c r="N33"/>
  <c r="D7"/>
  <c r="B18" i="22" s="1"/>
  <c r="B26" i="38" s="1"/>
  <c r="J39" i="21"/>
  <c r="L39" s="1"/>
  <c r="C15"/>
  <c r="E38"/>
  <c r="G38" s="1"/>
  <c r="T41"/>
  <c r="E31"/>
  <c r="G31" s="1"/>
  <c r="P15"/>
  <c r="N20" i="22" s="1"/>
  <c r="B37" i="21"/>
  <c r="R15"/>
  <c r="F38"/>
  <c r="M41"/>
  <c r="P20"/>
  <c r="S8" i="22" s="1"/>
  <c r="R40" i="21"/>
  <c r="T14"/>
  <c r="I17"/>
  <c r="Q25" i="22" s="1"/>
  <c r="L16" i="38" s="1"/>
  <c r="O21" i="21"/>
  <c r="Q21" s="1"/>
  <c r="H42"/>
  <c r="F11"/>
  <c r="I12" i="22" s="1"/>
  <c r="J33" i="21"/>
  <c r="L33" s="1"/>
  <c r="O33"/>
  <c r="Q33" s="1"/>
  <c r="I41"/>
  <c r="T15"/>
  <c r="J18"/>
  <c r="L18" s="1"/>
  <c r="T37"/>
  <c r="F29"/>
  <c r="R41"/>
  <c r="N9"/>
  <c r="G26" i="22" s="1"/>
  <c r="L7" i="38" s="1"/>
  <c r="I44" i="21"/>
  <c r="K39"/>
  <c r="K16"/>
  <c r="N25" i="22" s="1"/>
  <c r="N8" i="21"/>
  <c r="B26" i="22" s="1"/>
  <c r="Q17" i="38" s="1"/>
  <c r="J20" i="21"/>
  <c r="L20" s="1"/>
  <c r="T25"/>
  <c r="B13"/>
  <c r="M4" i="22" s="1"/>
  <c r="B14" i="38" s="1"/>
  <c r="P19" i="21"/>
  <c r="S14" i="22" s="1"/>
  <c r="K41" i="21"/>
  <c r="R13"/>
  <c r="O31"/>
  <c r="Q31" s="1"/>
  <c r="J14"/>
  <c r="L14" s="1"/>
  <c r="P16"/>
  <c r="N26" i="22" s="1"/>
  <c r="T13" i="21"/>
  <c r="K9"/>
  <c r="I25" i="22" s="1"/>
  <c r="M29" i="21"/>
  <c r="P27"/>
  <c r="K26"/>
  <c r="O17"/>
  <c r="Q17" s="1"/>
  <c r="R20"/>
  <c r="B29"/>
  <c r="K25"/>
  <c r="N25"/>
  <c r="T43"/>
  <c r="D12"/>
  <c r="G6" i="22" s="1"/>
  <c r="G15" i="38" s="1"/>
  <c r="J27" i="21"/>
  <c r="L27" s="1"/>
  <c r="F35"/>
  <c r="J44"/>
  <c r="L44" s="1"/>
  <c r="H12"/>
  <c r="H16"/>
  <c r="N30"/>
  <c r="B43"/>
  <c r="P14"/>
  <c r="N14" i="22" s="1"/>
  <c r="R24" i="21"/>
  <c r="C8"/>
  <c r="F23"/>
  <c r="T39"/>
  <c r="P23"/>
  <c r="E11"/>
  <c r="H12" i="22" s="1"/>
  <c r="J12" s="1"/>
  <c r="B38" i="21"/>
  <c r="F16"/>
  <c r="N24" i="22" s="1"/>
  <c r="O7" i="21"/>
  <c r="C20" i="22" s="1"/>
  <c r="F8" i="21"/>
  <c r="D24" i="22" s="1"/>
  <c r="O16" i="21"/>
  <c r="Q16" s="1"/>
  <c r="O15"/>
  <c r="Q15" s="1"/>
  <c r="B26"/>
  <c r="N34"/>
  <c r="F10"/>
  <c r="I18" i="22" s="1"/>
  <c r="K44" i="21"/>
  <c r="O35"/>
  <c r="Q35" s="1"/>
  <c r="E40"/>
  <c r="G40" s="1"/>
  <c r="H41"/>
  <c r="E32"/>
  <c r="G32" s="1"/>
  <c r="K32"/>
  <c r="O37"/>
  <c r="Q37" s="1"/>
  <c r="H13"/>
  <c r="I27"/>
  <c r="T18"/>
  <c r="J43"/>
  <c r="L43" s="1"/>
  <c r="O42"/>
  <c r="Q42" s="1"/>
  <c r="E30"/>
  <c r="G30" s="1"/>
  <c r="K18"/>
  <c r="S19" i="22" s="1"/>
  <c r="D26" i="21"/>
  <c r="F44"/>
  <c r="B28"/>
  <c r="D21"/>
  <c r="J30"/>
  <c r="L30" s="1"/>
  <c r="C10"/>
  <c r="C43"/>
  <c r="J9"/>
  <c r="H25" i="22" s="1"/>
  <c r="I18" i="21"/>
  <c r="Q19" i="22" s="1"/>
  <c r="G27" i="38" s="1"/>
  <c r="H44" i="21"/>
  <c r="F36"/>
  <c r="P18"/>
  <c r="S20" i="22" s="1"/>
  <c r="F7" i="21"/>
  <c r="D18" i="22" s="1"/>
  <c r="C35" i="21"/>
  <c r="R27"/>
  <c r="N19"/>
  <c r="Q14" i="22" s="1"/>
  <c r="L39" i="38" s="1"/>
  <c r="C42" i="21"/>
  <c r="O41"/>
  <c r="Q41" s="1"/>
  <c r="H30"/>
  <c r="R17"/>
  <c r="P40"/>
  <c r="F13"/>
  <c r="N6" i="22" s="1"/>
  <c r="J7" i="21"/>
  <c r="C19" i="22" s="1"/>
  <c r="B15" i="21"/>
  <c r="M16" i="22" s="1"/>
  <c r="B36" i="38" s="1"/>
  <c r="M8" i="21"/>
  <c r="T35"/>
  <c r="D31"/>
  <c r="I10"/>
  <c r="G19" i="22" s="1"/>
  <c r="G38" i="38" s="1"/>
  <c r="I32" i="21"/>
  <c r="B22"/>
  <c r="B24" i="37" s="1"/>
  <c r="M17" i="21"/>
  <c r="R7"/>
  <c r="C38"/>
  <c r="J24"/>
  <c r="L24" s="1"/>
  <c r="T22"/>
  <c r="F24" i="37" s="1"/>
  <c r="D28" i="21"/>
  <c r="J23"/>
  <c r="L23" s="1"/>
  <c r="D36"/>
  <c r="E43"/>
  <c r="G43" s="1"/>
  <c r="J10"/>
  <c r="H19" i="22" s="1"/>
  <c r="M28" i="21"/>
  <c r="K20"/>
  <c r="S7" i="22" s="1"/>
  <c r="B40" i="21"/>
  <c r="N37"/>
  <c r="P32"/>
  <c r="H35"/>
  <c r="K11"/>
  <c r="I13" i="22" s="1"/>
  <c r="K17" i="21"/>
  <c r="S25" i="22" s="1"/>
  <c r="P11" i="21"/>
  <c r="I14" i="22" s="1"/>
  <c r="T20" i="21"/>
  <c r="C36"/>
  <c r="C22"/>
  <c r="D24" i="37" s="1"/>
  <c r="N29" i="21"/>
  <c r="D15"/>
  <c r="F9"/>
  <c r="I24" i="22" s="1"/>
  <c r="E26" i="21"/>
  <c r="G26" s="1"/>
  <c r="E39"/>
  <c r="G39" s="1"/>
  <c r="B30"/>
  <c r="K27"/>
  <c r="J32"/>
  <c r="L32" s="1"/>
  <c r="R43"/>
  <c r="H32"/>
  <c r="B25"/>
  <c r="D43"/>
  <c r="J42"/>
  <c r="L42" s="1"/>
  <c r="R29"/>
  <c r="K40"/>
  <c r="O25"/>
  <c r="Q25" s="1"/>
  <c r="R16"/>
  <c r="C17"/>
  <c r="N38"/>
  <c r="T29"/>
  <c r="J16"/>
  <c r="L16" s="1"/>
  <c r="K35"/>
  <c r="C32"/>
  <c r="R33"/>
  <c r="M27"/>
  <c r="C31"/>
  <c r="E28"/>
  <c r="G28" s="1"/>
  <c r="D10"/>
  <c r="G18" i="22" s="1"/>
  <c r="G37" i="38" s="1"/>
  <c r="I11" i="21"/>
  <c r="G13" i="22" s="1"/>
  <c r="L27" i="38" s="1"/>
  <c r="D9" i="21"/>
  <c r="G24" i="22" s="1"/>
  <c r="L5" i="38" s="1"/>
  <c r="I8" i="21"/>
  <c r="B25" i="22" s="1"/>
  <c r="Q16" i="38" s="1"/>
  <c r="H24" i="21"/>
  <c r="T16"/>
  <c r="T17"/>
  <c r="O22"/>
  <c r="Q22" s="1"/>
  <c r="I40"/>
  <c r="I25"/>
  <c r="K33"/>
  <c r="M31"/>
  <c r="F22"/>
  <c r="R18"/>
  <c r="R36"/>
  <c r="P22"/>
  <c r="N36"/>
  <c r="O43"/>
  <c r="Q43" s="1"/>
  <c r="D22"/>
  <c r="N41"/>
  <c r="K12"/>
  <c r="I7" i="22" s="1"/>
  <c r="M20" i="21"/>
  <c r="K37"/>
  <c r="K29"/>
  <c r="H34"/>
  <c r="P9"/>
  <c r="I26" i="22" s="1"/>
  <c r="D39" i="21"/>
  <c r="C41"/>
  <c r="M13"/>
  <c r="B32"/>
  <c r="C14"/>
  <c r="F39"/>
  <c r="B33"/>
  <c r="T34"/>
  <c r="D37"/>
  <c r="K22"/>
  <c r="O44"/>
  <c r="Q44" s="1"/>
  <c r="I9"/>
  <c r="G25" i="22" s="1"/>
  <c r="L6" i="38" s="1"/>
  <c r="J17" i="21"/>
  <c r="L17" s="1"/>
  <c r="R10"/>
  <c r="F32"/>
  <c r="R35"/>
  <c r="B10"/>
  <c r="H16" i="22" s="1"/>
  <c r="G36" i="38" s="1"/>
  <c r="P24" i="21"/>
  <c r="M21"/>
  <c r="H11"/>
  <c r="J25"/>
  <c r="L25" s="1"/>
  <c r="N18"/>
  <c r="Q20" i="22" s="1"/>
  <c r="G28" i="38" s="1"/>
  <c r="J6" i="21"/>
  <c r="C13" i="22" s="1"/>
  <c r="O32" i="21"/>
  <c r="Q32" s="1"/>
  <c r="J21"/>
  <c r="L21" s="1"/>
  <c r="P38"/>
  <c r="I33"/>
  <c r="T8"/>
  <c r="E29"/>
  <c r="G29" s="1"/>
  <c r="D20"/>
  <c r="Q6" i="22" s="1"/>
  <c r="G5" i="38" s="1"/>
  <c r="M18" i="21"/>
  <c r="H9"/>
  <c r="K23"/>
  <c r="R42"/>
  <c r="B9"/>
  <c r="H22" i="22" s="1"/>
  <c r="L4" i="38" s="1"/>
  <c r="B24" i="21"/>
  <c r="B26" i="37" s="1"/>
  <c r="E18" i="21"/>
  <c r="G18" s="1"/>
  <c r="N23"/>
  <c r="C16"/>
  <c r="F37"/>
  <c r="J19"/>
  <c r="L19" s="1"/>
  <c r="J8"/>
  <c r="C25" i="22" s="1"/>
  <c r="R44" i="21"/>
  <c r="B16"/>
  <c r="M22" i="22" s="1"/>
  <c r="Q4" i="38" s="1"/>
  <c r="C34" i="21"/>
  <c r="E20"/>
  <c r="G20" s="1"/>
  <c r="J38"/>
  <c r="L38" s="1"/>
  <c r="P29"/>
  <c r="F40"/>
  <c r="E21"/>
  <c r="G21" s="1"/>
  <c r="R25"/>
  <c r="C28"/>
  <c r="C23"/>
  <c r="D25" i="37" s="1"/>
  <c r="E14" i="21"/>
  <c r="G14" s="1"/>
  <c r="M26"/>
  <c r="B35"/>
  <c r="E34"/>
  <c r="G34" s="1"/>
  <c r="P10"/>
  <c r="I20" i="22" s="1"/>
  <c r="K42" i="21"/>
  <c r="H23"/>
  <c r="T26"/>
  <c r="M44"/>
  <c r="I42"/>
  <c r="H38"/>
  <c r="B18"/>
  <c r="R16" i="22" s="1"/>
  <c r="G25" i="38" s="1"/>
  <c r="E23" i="21"/>
  <c r="G23" s="1"/>
  <c r="M22"/>
  <c r="H29"/>
  <c r="N21"/>
  <c r="F41"/>
  <c r="J13"/>
  <c r="L13" s="1"/>
  <c r="E27"/>
  <c r="G27" s="1"/>
  <c r="N20"/>
  <c r="Q8" i="22" s="1"/>
  <c r="G7" i="38" s="1"/>
  <c r="N44" i="21"/>
  <c r="R9"/>
  <c r="H21"/>
  <c r="D13"/>
  <c r="L6" i="22" s="1"/>
  <c r="B15" i="38" s="1"/>
  <c r="H40" i="21"/>
  <c r="P17"/>
  <c r="S26" i="22" s="1"/>
  <c r="P36" i="21"/>
  <c r="T30"/>
  <c r="N39"/>
  <c r="R22"/>
  <c r="P39"/>
  <c r="B39"/>
  <c r="I19"/>
  <c r="Q13" i="22" s="1"/>
  <c r="L38" i="38" s="1"/>
  <c r="I13" i="21"/>
  <c r="L7" i="22" s="1"/>
  <c r="B16" i="38" s="1"/>
  <c r="N14" i="21"/>
  <c r="L14" i="22" s="1"/>
  <c r="Q28" i="38" s="1"/>
  <c r="N24" i="21"/>
  <c r="C5"/>
  <c r="T36"/>
  <c r="N35"/>
  <c r="J37"/>
  <c r="L37" s="1"/>
  <c r="F33"/>
  <c r="I30"/>
  <c r="B19"/>
  <c r="R10" i="22" s="1"/>
  <c r="L36" i="38" s="1"/>
  <c r="I16" i="21"/>
  <c r="L25" i="22" s="1"/>
  <c r="Q6" i="38" s="1"/>
  <c r="D6" i="21"/>
  <c r="B12" i="22" s="1"/>
  <c r="Q37" i="38" s="1"/>
  <c r="H20" i="21"/>
  <c r="H43"/>
  <c r="O14"/>
  <c r="Q14" s="1"/>
  <c r="F6"/>
  <c r="D12" i="22" s="1"/>
  <c r="T5" i="21"/>
  <c r="K28"/>
  <c r="C6"/>
  <c r="R14"/>
  <c r="P5"/>
  <c r="D8" i="22" s="1"/>
  <c r="T6" i="21"/>
  <c r="R5"/>
  <c r="P6"/>
  <c r="D14" i="22" s="1"/>
  <c r="O6" i="21"/>
  <c r="H6"/>
  <c r="M6"/>
  <c r="B5"/>
  <c r="C4" i="22" s="1"/>
  <c r="B4" i="38" s="1"/>
  <c r="E44" i="21"/>
  <c r="G44" s="1"/>
  <c r="K6"/>
  <c r="D13" i="22" s="1"/>
  <c r="O5" i="21"/>
  <c r="B6"/>
  <c r="C10" i="22" s="1"/>
  <c r="Q36" i="38" s="1"/>
  <c r="N6" i="21"/>
  <c r="B14" i="22" s="1"/>
  <c r="Q39" i="38" s="1"/>
  <c r="K21" i="21"/>
  <c r="I6"/>
  <c r="B13" i="22" s="1"/>
  <c r="Q38" i="38" s="1"/>
  <c r="E6" i="21"/>
  <c r="M5"/>
  <c r="P44"/>
  <c r="O13"/>
  <c r="Q13" s="1"/>
  <c r="C19"/>
  <c r="K36"/>
  <c r="C40"/>
  <c r="M38"/>
  <c r="R26"/>
  <c r="P28"/>
  <c r="P25"/>
  <c r="I12"/>
  <c r="G7" i="22" s="1"/>
  <c r="G16" i="38" s="1"/>
  <c r="M10" i="21"/>
  <c r="F19"/>
  <c r="S12" i="22" s="1"/>
  <c r="D17" i="21"/>
  <c r="Q24" i="22" s="1"/>
  <c r="L15" i="38" s="1"/>
  <c r="C26" i="21"/>
  <c r="M23"/>
  <c r="P12"/>
  <c r="I8" i="22" s="1"/>
  <c r="I24" i="21"/>
  <c r="J26"/>
  <c r="L26" s="1"/>
  <c r="N10"/>
  <c r="G20" i="22" s="1"/>
  <c r="G39" i="38" s="1"/>
  <c r="K31" i="21"/>
  <c r="I26"/>
  <c r="P33"/>
  <c r="K15"/>
  <c r="N19" i="22" s="1"/>
  <c r="D34" i="21"/>
  <c r="F43"/>
  <c r="R28"/>
  <c r="B36"/>
  <c r="E13"/>
  <c r="G13" s="1"/>
  <c r="F21"/>
  <c r="K10"/>
  <c r="I19" i="22" s="1"/>
  <c r="O23" i="21"/>
  <c r="Q23" s="1"/>
  <c r="I23"/>
  <c r="B27"/>
  <c r="D19"/>
  <c r="H26"/>
  <c r="C37"/>
  <c r="M19"/>
  <c r="B20"/>
  <c r="R4" i="22" s="1"/>
  <c r="G4" i="38" s="1"/>
  <c r="B41" i="21"/>
  <c r="T27"/>
  <c r="I36"/>
  <c r="B11"/>
  <c r="H10" i="22" s="1"/>
  <c r="L25" i="38" s="1"/>
  <c r="T33" i="21"/>
  <c r="J29"/>
  <c r="L29" s="1"/>
  <c r="C21"/>
  <c r="D23" i="37" s="1"/>
  <c r="D23" i="21"/>
  <c r="F15"/>
  <c r="N18" i="22" s="1"/>
  <c r="I28" i="21"/>
  <c r="E24"/>
  <c r="G24" s="1"/>
  <c r="I34"/>
  <c r="E35"/>
  <c r="G35" s="1"/>
  <c r="D35"/>
  <c r="B8"/>
  <c r="C22" i="22" s="1"/>
  <c r="Q14" i="38" s="1"/>
  <c r="T7" i="21"/>
  <c r="T42"/>
  <c r="N31"/>
  <c r="D38"/>
  <c r="E10"/>
  <c r="B14"/>
  <c r="M10" i="22" s="1"/>
  <c r="Q25" i="38" s="1"/>
  <c r="R21" i="21"/>
  <c r="M39"/>
  <c r="C27"/>
  <c r="H25"/>
  <c r="J35"/>
  <c r="L35" s="1"/>
  <c r="C30"/>
  <c r="O36"/>
  <c r="Q36" s="1"/>
  <c r="M16"/>
  <c r="P13"/>
  <c r="N40"/>
  <c r="D25"/>
  <c r="R37"/>
  <c r="T10"/>
  <c r="R23"/>
  <c r="F12"/>
  <c r="I6" i="22" s="1"/>
  <c r="M37" i="21"/>
  <c r="O27"/>
  <c r="Q27" s="1"/>
  <c r="T9"/>
  <c r="J22"/>
  <c r="L22" s="1"/>
  <c r="M40"/>
  <c r="F30"/>
  <c r="T31"/>
  <c r="N42"/>
  <c r="M11"/>
  <c r="K30"/>
  <c r="K19"/>
  <c r="S13" i="22" s="1"/>
  <c r="B7" i="21"/>
  <c r="C16" i="22" s="1"/>
  <c r="B25" i="38" s="1"/>
  <c r="E25" i="21"/>
  <c r="G25" s="1"/>
  <c r="J31"/>
  <c r="L31" s="1"/>
  <c r="H39"/>
  <c r="R32"/>
  <c r="E33"/>
  <c r="G33" s="1"/>
  <c r="E17"/>
  <c r="G17" s="1"/>
  <c r="D8"/>
  <c r="B24" i="22" s="1"/>
  <c r="Q15" i="38" s="1"/>
  <c r="B23" i="21"/>
  <c r="B25" i="37" s="1"/>
  <c r="H17" i="21"/>
  <c r="J41"/>
  <c r="L41" s="1"/>
  <c r="R34"/>
  <c r="T12"/>
  <c r="D29"/>
  <c r="C39"/>
  <c r="C44"/>
  <c r="D32"/>
  <c r="K34"/>
  <c r="K14"/>
  <c r="N13" i="22" s="1"/>
  <c r="M32" i="21"/>
  <c r="O20"/>
  <c r="Q20" s="1"/>
  <c r="D5"/>
  <c r="B6" i="22" s="1"/>
  <c r="B5" i="38" s="1"/>
  <c r="I43" i="21"/>
  <c r="P43"/>
  <c r="B44"/>
  <c r="D18"/>
  <c r="Q18" i="22" s="1"/>
  <c r="G26" i="38" s="1"/>
  <c r="E16" i="21"/>
  <c r="G16" s="1"/>
  <c r="P21"/>
  <c r="I15"/>
  <c r="L19" i="22" s="1"/>
  <c r="B38" i="38" s="1"/>
  <c r="H7" i="21"/>
  <c r="F27"/>
  <c r="P42"/>
  <c r="M12"/>
  <c r="M34"/>
  <c r="H28"/>
  <c r="K24"/>
  <c r="J15"/>
  <c r="L15" s="1"/>
  <c r="E37"/>
  <c r="G37" s="1"/>
  <c r="N16"/>
  <c r="L26" i="22" s="1"/>
  <c r="Q7" i="38" s="1"/>
  <c r="I39" i="21"/>
  <c r="F25"/>
  <c r="M14"/>
  <c r="C18"/>
  <c r="F31"/>
  <c r="N11"/>
  <c r="G14" i="22" s="1"/>
  <c r="L28" i="38" s="1"/>
  <c r="F26" i="21"/>
  <c r="M36"/>
  <c r="O18"/>
  <c r="Q18" s="1"/>
  <c r="P30"/>
  <c r="P7"/>
  <c r="D20" i="22" s="1"/>
  <c r="H37" i="21"/>
  <c r="E19"/>
  <c r="G19" s="1"/>
  <c r="D44"/>
  <c r="P8"/>
  <c r="D26" i="22" s="1"/>
  <c r="F28" i="21"/>
  <c r="R19"/>
  <c r="I21"/>
  <c r="T11"/>
  <c r="O26"/>
  <c r="Q26" s="1"/>
  <c r="M43"/>
  <c r="O28"/>
  <c r="Q28" s="1"/>
  <c r="H8"/>
  <c r="N17"/>
  <c r="Q26" i="22" s="1"/>
  <c r="L17" i="38" s="1"/>
  <c r="O8" i="21"/>
  <c r="C26" i="22" s="1"/>
  <c r="M33" i="21"/>
  <c r="O30"/>
  <c r="Q30" s="1"/>
  <c r="I7"/>
  <c r="B19" i="22" s="1"/>
  <c r="B27" i="38" s="1"/>
  <c r="T32" i="21"/>
  <c r="D33"/>
  <c r="E22"/>
  <c r="G22" s="1"/>
  <c r="B21"/>
  <c r="B23" i="37" s="1"/>
  <c r="F17" i="21"/>
  <c r="S24" i="22" s="1"/>
  <c r="E8" i="21"/>
  <c r="G8" s="1"/>
  <c r="C12"/>
  <c r="D42"/>
  <c r="B34"/>
  <c r="O19"/>
  <c r="Q19" s="1"/>
  <c r="F42"/>
  <c r="O24"/>
  <c r="Q24" s="1"/>
  <c r="J11"/>
  <c r="H13" i="22" s="1"/>
  <c r="F24" i="21"/>
  <c r="R31"/>
  <c r="M25"/>
  <c r="D40"/>
  <c r="I31"/>
  <c r="T19"/>
  <c r="T44"/>
  <c r="H14"/>
  <c r="M9"/>
  <c r="D41"/>
  <c r="C11"/>
  <c r="J12"/>
  <c r="O34"/>
  <c r="Q34" s="1"/>
  <c r="J5"/>
  <c r="L12" l="1"/>
  <c r="H7" i="22"/>
  <c r="J7" s="1"/>
  <c r="Q12" i="21"/>
  <c r="H8" i="22"/>
  <c r="J8" s="1"/>
  <c r="G12" i="21"/>
  <c r="H6" i="22"/>
  <c r="J6" s="1"/>
  <c r="L59" i="38"/>
  <c r="S13" i="21"/>
  <c r="O4" i="22" s="1"/>
  <c r="E19"/>
  <c r="Q9" i="21"/>
  <c r="J25" i="22"/>
  <c r="S37" i="21"/>
  <c r="J14" i="22"/>
  <c r="G56" i="38"/>
  <c r="L13" i="37" s="1"/>
  <c r="J13" i="22"/>
  <c r="J20"/>
  <c r="J19"/>
  <c r="J26"/>
  <c r="S19" i="21"/>
  <c r="T10" i="22" s="1"/>
  <c r="S15" i="21"/>
  <c r="O16" i="22" s="1"/>
  <c r="S29" i="21"/>
  <c r="Q11"/>
  <c r="S35"/>
  <c r="E6" i="22"/>
  <c r="L5" i="21"/>
  <c r="B47" i="38"/>
  <c r="S33" i="21"/>
  <c r="S32"/>
  <c r="G5"/>
  <c r="Q56" i="38"/>
  <c r="S41" i="21"/>
  <c r="B58" i="38"/>
  <c r="S36" i="21"/>
  <c r="S42"/>
  <c r="S30"/>
  <c r="G46" i="38"/>
  <c r="L9" i="21"/>
  <c r="S27"/>
  <c r="B48" i="38"/>
  <c r="S38" i="21"/>
  <c r="L8"/>
  <c r="E25" i="22"/>
  <c r="G57" i="38"/>
  <c r="S43" i="21"/>
  <c r="E26" i="22"/>
  <c r="Q47" i="38"/>
  <c r="Q8" i="21"/>
  <c r="S34"/>
  <c r="L11"/>
  <c r="S20"/>
  <c r="T4" i="22" s="1"/>
  <c r="C7"/>
  <c r="E7" s="1"/>
  <c r="Q10" i="21"/>
  <c r="Q46" i="38"/>
  <c r="S25" i="21"/>
  <c r="S21"/>
  <c r="E23" i="37" s="1"/>
  <c r="S18" i="21"/>
  <c r="T16" i="22" s="1"/>
  <c r="L6" i="21"/>
  <c r="S14"/>
  <c r="O10" i="22" s="1"/>
  <c r="S22" i="21"/>
  <c r="E24" i="37" s="1"/>
  <c r="L47" i="38"/>
  <c r="S40" i="21"/>
  <c r="S17"/>
  <c r="T22" i="22" s="1"/>
  <c r="L10" i="21"/>
  <c r="B59" i="38"/>
  <c r="S26" i="21"/>
  <c r="S16"/>
  <c r="O22" i="22" s="1"/>
  <c r="C12"/>
  <c r="E12" s="1"/>
  <c r="G6" i="21"/>
  <c r="G10"/>
  <c r="H18" i="22"/>
  <c r="J18" s="1"/>
  <c r="Q57" i="38"/>
  <c r="Q59"/>
  <c r="Q58"/>
  <c r="C18" i="22"/>
  <c r="E18" s="1"/>
  <c r="G7" i="21"/>
  <c r="G58" i="38"/>
  <c r="G59"/>
  <c r="S31" i="21"/>
  <c r="B56" i="38"/>
  <c r="L46"/>
  <c r="G47"/>
  <c r="S24" i="21"/>
  <c r="E26" i="37" s="1"/>
  <c r="E20" i="22"/>
  <c r="B57" i="38"/>
  <c r="C24" i="22"/>
  <c r="E24" s="1"/>
  <c r="G11" i="21"/>
  <c r="S39"/>
  <c r="Q7"/>
  <c r="B46" i="38"/>
  <c r="B49"/>
  <c r="C8" i="22"/>
  <c r="E8" s="1"/>
  <c r="Q5" i="21"/>
  <c r="G48" i="38"/>
  <c r="G49"/>
  <c r="G9" i="21"/>
  <c r="H24" i="22"/>
  <c r="J24" s="1"/>
  <c r="L58" i="38"/>
  <c r="L57"/>
  <c r="L56"/>
  <c r="L14" i="37" s="1"/>
  <c r="Q6" i="21"/>
  <c r="C14" i="22"/>
  <c r="E14" s="1"/>
  <c r="Q48" i="38"/>
  <c r="Q49"/>
  <c r="S23" i="21"/>
  <c r="E25" i="37" s="1"/>
  <c r="S44" i="21"/>
  <c r="S28"/>
  <c r="L49" i="38"/>
  <c r="L7" i="21"/>
  <c r="L48" i="38"/>
  <c r="E13" i="22"/>
  <c r="S12" i="21" l="1"/>
  <c r="J4" i="22" s="1"/>
  <c r="L68" i="38"/>
  <c r="L12" i="37"/>
  <c r="J14"/>
  <c r="M14"/>
  <c r="K14"/>
  <c r="L70" i="38"/>
  <c r="J13" i="37"/>
  <c r="K13"/>
  <c r="M13"/>
  <c r="B67" i="38"/>
  <c r="L69"/>
  <c r="L67"/>
  <c r="L81" s="1"/>
  <c r="B69"/>
  <c r="S5" i="21"/>
  <c r="E4" i="22" s="1"/>
  <c r="B68" i="38"/>
  <c r="S11" i="21"/>
  <c r="J10" i="22" s="1"/>
  <c r="S9" i="21"/>
  <c r="J22" i="22" s="1"/>
  <c r="S8" i="21"/>
  <c r="E22" i="22" s="1"/>
  <c r="B70" i="38"/>
  <c r="S10" i="21"/>
  <c r="J16" i="22" s="1"/>
  <c r="Q69" i="38"/>
  <c r="Q70"/>
  <c r="Q68"/>
  <c r="Q67"/>
  <c r="G67"/>
  <c r="G70"/>
  <c r="G69"/>
  <c r="G68"/>
  <c r="S6" i="21"/>
  <c r="E10" i="22" s="1"/>
  <c r="S7" i="21"/>
  <c r="E16" i="22" s="1"/>
  <c r="J12" i="37" l="1"/>
  <c r="E14" s="1"/>
  <c r="M12"/>
  <c r="K12"/>
  <c r="L97" i="38"/>
  <c r="L83"/>
  <c r="L82"/>
  <c r="L96"/>
  <c r="L95"/>
  <c r="L94"/>
  <c r="L80"/>
  <c r="G94"/>
  <c r="G83"/>
  <c r="G82"/>
  <c r="G97"/>
  <c r="G95"/>
  <c r="G80"/>
  <c r="G81"/>
  <c r="G96"/>
  <c r="B7" i="37" l="1"/>
  <c r="E7" s="1"/>
  <c r="D14"/>
  <c r="B14"/>
  <c r="F14"/>
  <c r="B8"/>
  <c r="E8" s="1"/>
  <c r="B9"/>
  <c r="F9" s="1"/>
  <c r="E13"/>
  <c r="E12"/>
  <c r="E11"/>
  <c r="B10"/>
  <c r="F10" s="1"/>
  <c r="D7" l="1"/>
  <c r="F7"/>
  <c r="D8"/>
  <c r="F8"/>
  <c r="D9"/>
  <c r="E9"/>
  <c r="D11"/>
  <c r="B11"/>
  <c r="F11"/>
  <c r="B12"/>
  <c r="F12"/>
  <c r="D12"/>
  <c r="B13"/>
  <c r="F13"/>
  <c r="D13"/>
  <c r="D10"/>
  <c r="E10"/>
</calcChain>
</file>

<file path=xl/sharedStrings.xml><?xml version="1.0" encoding="utf-8"?>
<sst xmlns="http://schemas.openxmlformats.org/spreadsheetml/2006/main" count="183" uniqueCount="78">
  <si>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</si>
  <si>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</si>
  <si>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</si>
  <si>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</si>
  <si>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</si>
  <si>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</si>
  <si>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</si>
  <si>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</si>
  <si>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</si>
  <si>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</si>
  <si>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</si>
  <si>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</si>
  <si>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</si>
  <si>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</si>
  <si>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</si>
  <si>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</si>
  <si>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</si>
  <si>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</si>
  <si>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</si>
  <si>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</si>
  <si>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</si>
  <si>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</si>
  <si>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</si>
  <si>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</si>
  <si>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</si>
  <si>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</si>
  <si>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</si>
  <si>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</si>
  <si>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</si>
  <si>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</si>
  <si>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</si>
  <si>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</si>
  <si>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</si>
  <si>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</si>
  <si>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</si>
  <si>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</si>
  <si>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</si>
  <si>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</si>
  <si>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</si>
  <si>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</si>
  <si>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</si>
  <si>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</si>
  <si>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</si>
  <si>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</si>
  <si>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</si>
  <si>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</si>
  <si>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</si>
  <si>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</si>
  <si>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</si>
  <si>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</si>
  <si>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</si>
  <si>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</si>
  <si>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</si>
  <si>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</si>
  <si>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</si>
  <si>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</si>
  <si>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</si>
  <si>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</si>
  <si>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</si>
  <si>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</si>
  <si>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</si>
  <si>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</si>
  <si>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</si>
  <si>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</si>
  <si>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PISTOLET</t>
  </si>
  <si>
    <t>2025/2026</t>
  </si>
  <si>
    <t>PONS Sébastien</t>
  </si>
  <si>
    <t>pons.sebastien31@bbox.fr</t>
  </si>
  <si>
    <t>TOUSSAIN Jules</t>
  </si>
  <si>
    <t>SAFFON Nathanael</t>
  </si>
  <si>
    <t>ESTOR Valentin</t>
  </si>
  <si>
    <t>MONTAUBAN</t>
  </si>
  <si>
    <t>MIDI-PYRENEES</t>
  </si>
  <si>
    <t>AST MONTAUBAN</t>
  </si>
  <si>
    <t>MORENO Chloé</t>
  </si>
  <si>
    <t>BERGUE Jules</t>
  </si>
  <si>
    <t>RAMALHO Nathéo</t>
  </si>
  <si>
    <t>38 TSM</t>
  </si>
</sst>
</file>

<file path=xl/styles.xml><?xml version="1.0" encoding="utf-8"?>
<styleSheet xmlns="http://schemas.openxmlformats.org/spreadsheetml/2006/main">
  <numFmts count="3">
    <numFmt numFmtId="164" formatCode="[$-40C]d\ mmmm\ yyyy;@"/>
    <numFmt numFmtId="165" formatCode="##\.##\.###"/>
    <numFmt numFmtId="166" formatCode="0.000000000000"/>
  </numFmts>
  <fonts count="67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xmlns="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xmlns="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xmlns="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xmlns="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xmlns="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xmlns="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xmlns="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xmlns="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xmlns="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xmlns="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xmlns="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xmlns="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xmlns="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12700</xdr:rowOff>
    </xdr:from>
    <xdr:to>
      <xdr:col>8</xdr:col>
      <xdr:colOff>79375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xmlns="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20200" y="1270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zoomScaleSheetLayoutView="100" workbookViewId="0">
      <selection activeCell="B8" sqref="B8"/>
    </sheetView>
  </sheetViews>
  <sheetFormatPr baseColWidth="10" defaultColWidth="10.625" defaultRowHeight="12.75"/>
  <cols>
    <col min="1" max="1" width="16.5" style="79" bestFit="1" customWidth="1"/>
    <col min="2" max="2" width="29.625" style="79" customWidth="1"/>
    <col min="3" max="3" width="30.875" style="79" customWidth="1"/>
    <col min="4" max="16384" width="10.625" style="79"/>
  </cols>
  <sheetData>
    <row r="1" spans="1:3" ht="96.95" customHeight="1">
      <c r="A1" s="142" t="s">
        <v>3</v>
      </c>
      <c r="B1" s="143"/>
      <c r="C1" s="143"/>
    </row>
    <row r="2" spans="1:3" ht="24.95" customHeight="1">
      <c r="A2" s="144" t="s">
        <v>18</v>
      </c>
      <c r="B2" s="144"/>
      <c r="C2" s="144"/>
    </row>
    <row r="3" spans="1:3" ht="24.95" customHeight="1">
      <c r="A3" s="147" t="s">
        <v>29</v>
      </c>
      <c r="B3" s="147"/>
      <c r="C3" s="147"/>
    </row>
    <row r="4" spans="1:3" ht="24.95" customHeight="1">
      <c r="A4" s="80" t="s">
        <v>5</v>
      </c>
      <c r="B4" s="43">
        <v>44599</v>
      </c>
      <c r="C4" s="81"/>
    </row>
    <row r="5" spans="1:3" ht="24.95" customHeight="1">
      <c r="A5" s="80" t="s">
        <v>46</v>
      </c>
      <c r="B5" s="7" t="s">
        <v>71</v>
      </c>
      <c r="C5" s="81"/>
    </row>
    <row r="6" spans="1:3" ht="24.95" customHeight="1">
      <c r="A6" s="80" t="s">
        <v>49</v>
      </c>
      <c r="B6" s="37" t="s">
        <v>65</v>
      </c>
      <c r="C6" s="81"/>
    </row>
    <row r="7" spans="1:3" ht="24.95" customHeight="1">
      <c r="A7" s="80" t="s">
        <v>0</v>
      </c>
      <c r="B7" s="7" t="s">
        <v>64</v>
      </c>
      <c r="C7" s="81" t="s">
        <v>4</v>
      </c>
    </row>
    <row r="8" spans="1:3" ht="24.95" customHeight="1">
      <c r="A8" s="80" t="s">
        <v>47</v>
      </c>
      <c r="B8" s="12">
        <v>2</v>
      </c>
      <c r="C8" s="81"/>
    </row>
    <row r="9" spans="1:3" ht="24.95" customHeight="1">
      <c r="A9" s="6" t="s">
        <v>31</v>
      </c>
      <c r="B9" s="36" t="s">
        <v>72</v>
      </c>
      <c r="C9" s="81" t="s">
        <v>50</v>
      </c>
    </row>
    <row r="10" spans="1:3" ht="24.95" customHeight="1">
      <c r="A10" s="82"/>
      <c r="B10" s="82"/>
      <c r="C10" s="83"/>
    </row>
    <row r="11" spans="1:3" ht="24.95" customHeight="1">
      <c r="A11" s="147" t="s">
        <v>30</v>
      </c>
      <c r="B11" s="147"/>
      <c r="C11" s="147"/>
    </row>
    <row r="12" spans="1:3" ht="30" customHeight="1">
      <c r="A12" s="80" t="s">
        <v>48</v>
      </c>
      <c r="B12" s="11" t="s">
        <v>66</v>
      </c>
      <c r="C12" s="84"/>
    </row>
    <row r="13" spans="1:3" ht="30" customHeight="1">
      <c r="A13" s="6" t="s">
        <v>26</v>
      </c>
      <c r="B13" s="10">
        <v>625977518</v>
      </c>
      <c r="C13" s="81"/>
    </row>
    <row r="14" spans="1:3" ht="30" customHeight="1">
      <c r="A14" s="6" t="s">
        <v>27</v>
      </c>
      <c r="B14" s="13" t="s">
        <v>67</v>
      </c>
      <c r="C14" s="85"/>
    </row>
    <row r="16" spans="1:3" ht="92.1" customHeight="1">
      <c r="A16" s="145" t="s">
        <v>10</v>
      </c>
      <c r="B16" s="145"/>
      <c r="C16" s="145"/>
    </row>
    <row r="17" spans="1:3" ht="15" customHeight="1">
      <c r="A17" s="148" t="s">
        <v>13</v>
      </c>
      <c r="B17" s="148"/>
      <c r="C17" s="83"/>
    </row>
    <row r="18" spans="1:3" ht="15" customHeight="1">
      <c r="A18" s="149" t="s">
        <v>28</v>
      </c>
      <c r="B18" s="148"/>
      <c r="C18" s="8"/>
    </row>
    <row r="19" spans="1:3" ht="15" customHeight="1">
      <c r="A19" s="146" t="s">
        <v>14</v>
      </c>
      <c r="B19" s="146"/>
      <c r="C19" s="9"/>
    </row>
  </sheetData>
  <sheetProtection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X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C6" sqref="C6"/>
    </sheetView>
  </sheetViews>
  <sheetFormatPr baseColWidth="10" defaultColWidth="10.625" defaultRowHeight="40.5" outlineLevelCol="1"/>
  <cols>
    <col min="1" max="1" width="15.875" style="3" customWidth="1"/>
    <col min="2" max="2" width="22.375" style="45" customWidth="1" outlineLevel="1"/>
    <col min="3" max="3" width="54" style="4" bestFit="1" customWidth="1"/>
    <col min="4" max="4" width="20.625" style="4" bestFit="1" customWidth="1"/>
    <col min="5" max="5" width="50.625" style="4" customWidth="1"/>
    <col min="6" max="8" width="14.625" style="5" customWidth="1"/>
    <col min="9" max="9" width="10.875" style="5" hidden="1" customWidth="1"/>
    <col min="10" max="10" width="50.5" style="4" customWidth="1"/>
    <col min="11" max="12" width="14.875" style="5" customWidth="1"/>
    <col min="13" max="13" width="14.5" style="5" customWidth="1"/>
    <col min="14" max="14" width="10.5" style="5" hidden="1" customWidth="1"/>
    <col min="15" max="15" width="50.625" style="4" customWidth="1"/>
    <col min="16" max="17" width="14.875" style="5" customWidth="1"/>
    <col min="18" max="18" width="14.5" style="5" customWidth="1"/>
    <col min="19" max="19" width="10.625" style="5" hidden="1" customWidth="1"/>
    <col min="20" max="20" width="16.625" style="5" bestFit="1" customWidth="1"/>
    <col min="21" max="21" width="8.5" style="2" hidden="1" customWidth="1"/>
    <col min="22" max="22" width="4.5" style="3" customWidth="1"/>
    <col min="23" max="23" width="33.5" style="45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3" customWidth="1"/>
    <col min="28" max="28" width="9.5" style="3" customWidth="1"/>
    <col min="29" max="29" width="9.625" style="3" customWidth="1"/>
    <col min="30" max="16384" width="10.625" style="3"/>
  </cols>
  <sheetData>
    <row r="1" spans="1:23" ht="38.1" customHeight="1">
      <c r="A1" s="150" t="str">
        <f>CONCATENATE(INFO!B7," - ",INFO!B9)</f>
        <v>PISTOLET - MIDI-PYRENEES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4.1" customHeight="1" thickBot="1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7.1" customHeight="1" thickTop="1">
      <c r="A5" s="86">
        <v>1</v>
      </c>
      <c r="B5" s="138">
        <f>RANK(W5,W$5:W$44,0)</f>
        <v>2</v>
      </c>
      <c r="C5" s="53" t="s">
        <v>73</v>
      </c>
      <c r="D5" s="54">
        <v>1982105</v>
      </c>
      <c r="E5" s="55" t="s">
        <v>74</v>
      </c>
      <c r="F5" s="109">
        <v>80</v>
      </c>
      <c r="G5" s="109">
        <v>82</v>
      </c>
      <c r="H5" s="110">
        <f t="shared" ref="H5:H44" si="0">SUM(F5:G5)</f>
        <v>162</v>
      </c>
      <c r="I5" s="56"/>
      <c r="J5" s="55" t="s">
        <v>75</v>
      </c>
      <c r="K5" s="109">
        <v>70</v>
      </c>
      <c r="L5" s="109">
        <v>74</v>
      </c>
      <c r="M5" s="110">
        <f t="shared" ref="M5:M44" si="1">SUM(K5:L5)</f>
        <v>144</v>
      </c>
      <c r="N5" s="56"/>
      <c r="O5" s="55" t="s">
        <v>76</v>
      </c>
      <c r="P5" s="109">
        <v>71</v>
      </c>
      <c r="Q5" s="109">
        <v>67</v>
      </c>
      <c r="R5" s="110">
        <f t="shared" ref="R5:R44" si="2">SUM(P5:Q5)</f>
        <v>138</v>
      </c>
      <c r="S5" s="56"/>
      <c r="T5" s="114">
        <f t="shared" ref="T5:T44" si="3">SUM(H5+M5+R5)</f>
        <v>444</v>
      </c>
      <c r="U5" s="89">
        <f>I5+N5+S5</f>
        <v>0</v>
      </c>
      <c r="W5" s="133">
        <f>H5+M5+R5+(0.000001*(I5+N5+S5))+(0.000000001*(G5+L5+Q5))</f>
        <v>444.00000022299997</v>
      </c>
    </row>
    <row r="6" spans="1:23" ht="47.1" customHeight="1">
      <c r="A6" s="87">
        <v>2</v>
      </c>
      <c r="B6" s="139">
        <f t="shared" ref="B6:B44" si="4">RANK(W6,W$5:W$44,0)</f>
        <v>1</v>
      </c>
      <c r="C6" s="44" t="s">
        <v>77</v>
      </c>
      <c r="D6" s="46">
        <v>1931022</v>
      </c>
      <c r="E6" s="49" t="s">
        <v>68</v>
      </c>
      <c r="F6" s="111">
        <v>77</v>
      </c>
      <c r="G6" s="111">
        <v>71</v>
      </c>
      <c r="H6" s="112">
        <f t="shared" si="0"/>
        <v>148</v>
      </c>
      <c r="I6" s="50"/>
      <c r="J6" s="49" t="s">
        <v>69</v>
      </c>
      <c r="K6" s="111">
        <v>74</v>
      </c>
      <c r="L6" s="111">
        <v>80</v>
      </c>
      <c r="M6" s="112">
        <f t="shared" si="1"/>
        <v>154</v>
      </c>
      <c r="N6" s="50"/>
      <c r="O6" s="49" t="s">
        <v>70</v>
      </c>
      <c r="P6" s="111">
        <v>78</v>
      </c>
      <c r="Q6" s="111">
        <v>77</v>
      </c>
      <c r="R6" s="112">
        <f t="shared" si="2"/>
        <v>155</v>
      </c>
      <c r="S6" s="50"/>
      <c r="T6" s="115">
        <f t="shared" si="3"/>
        <v>457</v>
      </c>
      <c r="U6" s="90">
        <f t="shared" ref="U6:U44" si="5">I6+N6+S6</f>
        <v>0</v>
      </c>
      <c r="W6" s="133">
        <f t="shared" ref="W6:W44" si="6">H6+M6+R6+(0.000001*(I6+N6+S6))+(0.000000001*(G6+L6+Q6))</f>
        <v>457.00000022799998</v>
      </c>
    </row>
    <row r="7" spans="1:23" ht="47.1" customHeight="1">
      <c r="A7" s="87">
        <v>3</v>
      </c>
      <c r="B7" s="139">
        <f t="shared" si="4"/>
        <v>3</v>
      </c>
      <c r="C7" s="44"/>
      <c r="D7" s="46"/>
      <c r="E7" s="49"/>
      <c r="F7" s="111"/>
      <c r="G7" s="111"/>
      <c r="H7" s="112">
        <f t="shared" si="0"/>
        <v>0</v>
      </c>
      <c r="I7" s="50"/>
      <c r="J7" s="49"/>
      <c r="K7" s="111"/>
      <c r="L7" s="111"/>
      <c r="M7" s="112">
        <f t="shared" si="1"/>
        <v>0</v>
      </c>
      <c r="N7" s="50"/>
      <c r="O7" s="49"/>
      <c r="P7" s="111"/>
      <c r="Q7" s="111"/>
      <c r="R7" s="112">
        <f t="shared" si="2"/>
        <v>0</v>
      </c>
      <c r="S7" s="50"/>
      <c r="T7" s="115">
        <f t="shared" si="3"/>
        <v>0</v>
      </c>
      <c r="U7" s="90">
        <f t="shared" si="5"/>
        <v>0</v>
      </c>
      <c r="W7" s="133">
        <f t="shared" si="6"/>
        <v>0</v>
      </c>
    </row>
    <row r="8" spans="1:23" ht="47.1" customHeight="1">
      <c r="A8" s="87">
        <v>4</v>
      </c>
      <c r="B8" s="139">
        <f t="shared" si="4"/>
        <v>3</v>
      </c>
      <c r="C8" s="44"/>
      <c r="D8" s="46"/>
      <c r="E8" s="49"/>
      <c r="F8" s="111"/>
      <c r="G8" s="111"/>
      <c r="H8" s="112">
        <f t="shared" si="0"/>
        <v>0</v>
      </c>
      <c r="I8" s="50"/>
      <c r="J8" s="49"/>
      <c r="K8" s="111"/>
      <c r="L8" s="111"/>
      <c r="M8" s="112">
        <f t="shared" si="1"/>
        <v>0</v>
      </c>
      <c r="N8" s="50"/>
      <c r="O8" s="49"/>
      <c r="P8" s="111"/>
      <c r="Q8" s="111"/>
      <c r="R8" s="112">
        <f t="shared" si="2"/>
        <v>0</v>
      </c>
      <c r="S8" s="50"/>
      <c r="T8" s="115">
        <f t="shared" si="3"/>
        <v>0</v>
      </c>
      <c r="U8" s="90">
        <f t="shared" si="5"/>
        <v>0</v>
      </c>
      <c r="W8" s="133">
        <f t="shared" si="6"/>
        <v>0</v>
      </c>
    </row>
    <row r="9" spans="1:23" ht="47.1" customHeight="1">
      <c r="A9" s="87">
        <v>5</v>
      </c>
      <c r="B9" s="139">
        <f t="shared" si="4"/>
        <v>3</v>
      </c>
      <c r="C9" s="44"/>
      <c r="D9" s="46"/>
      <c r="E9" s="49"/>
      <c r="F9" s="111"/>
      <c r="G9" s="111"/>
      <c r="H9" s="112">
        <f t="shared" si="0"/>
        <v>0</v>
      </c>
      <c r="I9" s="50"/>
      <c r="J9" s="49"/>
      <c r="K9" s="111"/>
      <c r="L9" s="111"/>
      <c r="M9" s="112">
        <f t="shared" si="1"/>
        <v>0</v>
      </c>
      <c r="N9" s="50"/>
      <c r="O9" s="49"/>
      <c r="P9" s="111"/>
      <c r="Q9" s="111"/>
      <c r="R9" s="112">
        <f t="shared" si="2"/>
        <v>0</v>
      </c>
      <c r="S9" s="50"/>
      <c r="T9" s="115">
        <f t="shared" si="3"/>
        <v>0</v>
      </c>
      <c r="U9" s="90">
        <f t="shared" si="5"/>
        <v>0</v>
      </c>
      <c r="W9" s="133">
        <f t="shared" si="6"/>
        <v>0</v>
      </c>
    </row>
    <row r="10" spans="1:23" ht="47.1" customHeight="1">
      <c r="A10" s="87">
        <v>6</v>
      </c>
      <c r="B10" s="139">
        <f t="shared" si="4"/>
        <v>3</v>
      </c>
      <c r="C10" s="44"/>
      <c r="D10" s="46"/>
      <c r="E10" s="49"/>
      <c r="F10" s="111"/>
      <c r="G10" s="111"/>
      <c r="H10" s="112">
        <f t="shared" si="0"/>
        <v>0</v>
      </c>
      <c r="I10" s="50"/>
      <c r="J10" s="49"/>
      <c r="K10" s="111"/>
      <c r="L10" s="111"/>
      <c r="M10" s="112">
        <f t="shared" si="1"/>
        <v>0</v>
      </c>
      <c r="N10" s="50"/>
      <c r="O10" s="49"/>
      <c r="P10" s="111"/>
      <c r="Q10" s="111"/>
      <c r="R10" s="112">
        <f t="shared" si="2"/>
        <v>0</v>
      </c>
      <c r="S10" s="50"/>
      <c r="T10" s="115">
        <f t="shared" si="3"/>
        <v>0</v>
      </c>
      <c r="U10" s="90">
        <f t="shared" si="5"/>
        <v>0</v>
      </c>
      <c r="W10" s="133">
        <f t="shared" si="6"/>
        <v>0</v>
      </c>
    </row>
    <row r="11" spans="1:23" ht="47.1" customHeight="1">
      <c r="A11" s="87">
        <v>7</v>
      </c>
      <c r="B11" s="139">
        <f t="shared" si="4"/>
        <v>3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7.1" customHeight="1">
      <c r="A12" s="87">
        <v>8</v>
      </c>
      <c r="B12" s="139">
        <f t="shared" si="4"/>
        <v>3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7.1" customHeight="1">
      <c r="A13" s="87">
        <v>9</v>
      </c>
      <c r="B13" s="139">
        <f t="shared" si="4"/>
        <v>3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7.1" customHeight="1">
      <c r="A14" s="87">
        <v>10</v>
      </c>
      <c r="B14" s="139">
        <f t="shared" si="4"/>
        <v>3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7.1" customHeight="1">
      <c r="A15" s="87">
        <v>11</v>
      </c>
      <c r="B15" s="139">
        <f t="shared" si="4"/>
        <v>3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7.1" customHeight="1">
      <c r="A16" s="87">
        <v>12</v>
      </c>
      <c r="B16" s="139">
        <f t="shared" si="4"/>
        <v>3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7.1" customHeight="1">
      <c r="A17" s="87">
        <v>13</v>
      </c>
      <c r="B17" s="139">
        <f t="shared" si="4"/>
        <v>3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7.1" customHeight="1">
      <c r="A18" s="87">
        <v>14</v>
      </c>
      <c r="B18" s="139">
        <f t="shared" si="4"/>
        <v>3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7.1" customHeight="1">
      <c r="A19" s="87">
        <v>15</v>
      </c>
      <c r="B19" s="139">
        <f t="shared" si="4"/>
        <v>3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7.1" customHeight="1">
      <c r="A20" s="87">
        <v>16</v>
      </c>
      <c r="B20" s="139">
        <f t="shared" si="4"/>
        <v>3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7.1" customHeight="1">
      <c r="A21" s="87">
        <v>17</v>
      </c>
      <c r="B21" s="139">
        <f t="shared" si="4"/>
        <v>3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7.1" customHeight="1">
      <c r="A22" s="87">
        <v>18</v>
      </c>
      <c r="B22" s="139">
        <f t="shared" si="4"/>
        <v>3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7.1" customHeight="1">
      <c r="A23" s="87">
        <v>19</v>
      </c>
      <c r="B23" s="139">
        <f t="shared" si="4"/>
        <v>3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7.1" customHeight="1">
      <c r="A24" s="87">
        <v>20</v>
      </c>
      <c r="B24" s="139">
        <f t="shared" si="4"/>
        <v>3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7.1" customHeight="1">
      <c r="A25" s="87">
        <v>21</v>
      </c>
      <c r="B25" s="139">
        <f t="shared" si="4"/>
        <v>3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7.1" customHeight="1">
      <c r="A26" s="87">
        <v>22</v>
      </c>
      <c r="B26" s="139">
        <f t="shared" si="4"/>
        <v>3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7.1" customHeight="1">
      <c r="A27" s="87">
        <v>23</v>
      </c>
      <c r="B27" s="139">
        <f t="shared" si="4"/>
        <v>3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7.1" customHeight="1">
      <c r="A28" s="87">
        <v>24</v>
      </c>
      <c r="B28" s="139">
        <f t="shared" si="4"/>
        <v>3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7.1" customHeight="1">
      <c r="A29" s="87">
        <v>25</v>
      </c>
      <c r="B29" s="139">
        <f t="shared" si="4"/>
        <v>3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7.1" customHeight="1">
      <c r="A30" s="87">
        <v>26</v>
      </c>
      <c r="B30" s="139">
        <f t="shared" si="4"/>
        <v>3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7.1" customHeight="1">
      <c r="A31" s="87">
        <v>27</v>
      </c>
      <c r="B31" s="139">
        <f t="shared" si="4"/>
        <v>3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7.1" customHeight="1">
      <c r="A32" s="87">
        <v>28</v>
      </c>
      <c r="B32" s="139">
        <f t="shared" si="4"/>
        <v>3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7.1" customHeight="1">
      <c r="A33" s="87">
        <v>29</v>
      </c>
      <c r="B33" s="139">
        <f t="shared" si="4"/>
        <v>3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7.1" customHeight="1">
      <c r="A34" s="87">
        <v>30</v>
      </c>
      <c r="B34" s="139">
        <f t="shared" si="4"/>
        <v>3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7.1" customHeight="1">
      <c r="A35" s="87">
        <v>31</v>
      </c>
      <c r="B35" s="139">
        <f t="shared" si="4"/>
        <v>3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7.1" customHeight="1">
      <c r="A36" s="87">
        <v>32</v>
      </c>
      <c r="B36" s="139">
        <f t="shared" si="4"/>
        <v>3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7.1" customHeight="1">
      <c r="A37" s="87">
        <v>33</v>
      </c>
      <c r="B37" s="139">
        <f t="shared" si="4"/>
        <v>3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7.1" customHeight="1">
      <c r="A38" s="87">
        <v>34</v>
      </c>
      <c r="B38" s="139">
        <f t="shared" si="4"/>
        <v>3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7.1" customHeight="1">
      <c r="A39" s="87">
        <v>35</v>
      </c>
      <c r="B39" s="139">
        <f t="shared" si="4"/>
        <v>3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7.1" customHeight="1">
      <c r="A40" s="87">
        <v>36</v>
      </c>
      <c r="B40" s="139">
        <f t="shared" si="4"/>
        <v>3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7.1" customHeight="1">
      <c r="A41" s="87">
        <v>37</v>
      </c>
      <c r="B41" s="139">
        <f t="shared" si="4"/>
        <v>3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7.1" customHeight="1">
      <c r="A42" s="87">
        <v>38</v>
      </c>
      <c r="B42" s="139">
        <f t="shared" si="4"/>
        <v>3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7.1" customHeight="1">
      <c r="A43" s="87">
        <v>39</v>
      </c>
      <c r="B43" s="139">
        <f t="shared" si="4"/>
        <v>3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7.1" customHeight="1" thickBot="1">
      <c r="A44" s="88">
        <v>40</v>
      </c>
      <c r="B44" s="140">
        <f t="shared" si="4"/>
        <v>3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1.25" thickTop="1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25" defaultRowHeight="40.5"/>
  <cols>
    <col min="1" max="1" width="15.875" style="3" customWidth="1"/>
    <col min="2" max="2" width="49.125" style="4" customWidth="1"/>
    <col min="3" max="3" width="21.125" style="4" customWidth="1"/>
    <col min="4" max="4" width="46.375" style="4" customWidth="1"/>
    <col min="5" max="7" width="14.5" style="5" customWidth="1"/>
    <col min="8" max="8" width="0.125" style="5" customWidth="1"/>
    <col min="9" max="9" width="48.125" style="4" customWidth="1"/>
    <col min="10" max="11" width="14.5" style="5" customWidth="1"/>
    <col min="12" max="12" width="14" style="5" customWidth="1"/>
    <col min="13" max="13" width="10.5" style="5" hidden="1" customWidth="1"/>
    <col min="14" max="14" width="50.625" style="4" customWidth="1"/>
    <col min="15" max="17" width="14.625" style="5" customWidth="1"/>
    <col min="18" max="18" width="10.625" style="5" hidden="1" customWidth="1"/>
    <col min="19" max="19" width="16.625" style="5" bestFit="1" customWidth="1"/>
    <col min="20" max="20" width="8.5" style="2" hidden="1" customWidth="1"/>
    <col min="21" max="21" width="4.5" style="3" customWidth="1"/>
    <col min="22" max="22" width="19.125" style="3" customWidth="1"/>
    <col min="23" max="23" width="4.5" style="3" customWidth="1"/>
    <col min="24" max="24" width="6.875" style="3" customWidth="1"/>
    <col min="25" max="25" width="3.125" style="3" customWidth="1"/>
    <col min="26" max="26" width="1" style="3" customWidth="1"/>
    <col min="27" max="27" width="9.5" style="3" customWidth="1"/>
    <col min="28" max="28" width="9.625" style="3" customWidth="1"/>
    <col min="29" max="16384" width="10.625" style="3"/>
  </cols>
  <sheetData>
    <row r="1" spans="1:21" ht="146.1" customHeight="1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9.1" customHeight="1">
      <c r="A2" s="168" t="str">
        <f>CONCATENATE("MATCH DE QUALIFICATION"," - ",INFO!B7," - ",INFO!B9)</f>
        <v>MATCH DE QUALIFICATION - PISTOLET - MIDI-PYRENEES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4.1" customHeight="1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7.1" customHeight="1">
      <c r="A5" s="63">
        <v>1</v>
      </c>
      <c r="B5" s="108" t="str">
        <f>VLOOKUP(A5,saisie!B$5:W$44,2,0)</f>
        <v>38 TSM</v>
      </c>
      <c r="C5" s="64">
        <f>VLOOKUP(A5,saisie!B$5:W$44,3,0)</f>
        <v>1931022</v>
      </c>
      <c r="D5" s="62" t="str">
        <f>VLOOKUP(A5,saisie!B$5:W$44,4,0)</f>
        <v>TOUSSAIN Jules</v>
      </c>
      <c r="E5" s="107">
        <f>VLOOKUP(A5,saisie!B$5:W$44,5,0)</f>
        <v>77</v>
      </c>
      <c r="F5" s="107">
        <f>VLOOKUP(A5,saisie!B$5:W$44,6,0)</f>
        <v>71</v>
      </c>
      <c r="G5" s="117">
        <f t="shared" ref="G5:G44" si="0">SUM(E5:F5)</f>
        <v>148</v>
      </c>
      <c r="H5" s="65">
        <f>VLOOKUP(A5,saisie!B$5:W$44,8,0)</f>
        <v>0</v>
      </c>
      <c r="I5" s="62" t="str">
        <f>VLOOKUP(A5,saisie!B$5:W$44,9,0)</f>
        <v>SAFFON Nathanael</v>
      </c>
      <c r="J5" s="107">
        <f>VLOOKUP(A5,saisie!B$5:W$44,10,0)</f>
        <v>74</v>
      </c>
      <c r="K5" s="107">
        <f>VLOOKUP(A5,saisie!B$5:W$44,11,0)</f>
        <v>80</v>
      </c>
      <c r="L5" s="117">
        <f t="shared" ref="L5:L44" si="1">SUM(J5:K5)</f>
        <v>154</v>
      </c>
      <c r="M5" s="65">
        <f>VLOOKUP(A5,saisie!B$5:W$44,13,0)</f>
        <v>0</v>
      </c>
      <c r="N5" s="62" t="str">
        <f>VLOOKUP(A5,saisie!B$5:W$44,14,0)</f>
        <v>ESTOR Valentin</v>
      </c>
      <c r="O5" s="107">
        <f>VLOOKUP(A5,saisie!B$5:W$44,15,0)</f>
        <v>78</v>
      </c>
      <c r="P5" s="107">
        <f>VLOOKUP(A5,saisie!B$5:W$44,16,0)</f>
        <v>77</v>
      </c>
      <c r="Q5" s="117">
        <f t="shared" ref="Q5:Q44" si="2">SUM(O5:P5)</f>
        <v>155</v>
      </c>
      <c r="R5" s="65">
        <f>VLOOKUP(A5,saisie!B$5:W$44,18,0)</f>
        <v>0</v>
      </c>
      <c r="S5" s="118">
        <f t="shared" ref="S5:S44" si="3">SUM(G5+L5+Q5)</f>
        <v>457</v>
      </c>
      <c r="T5" s="66">
        <f>VLOOKUP(A5,saisie!B$5:W$44,20,0)</f>
        <v>0</v>
      </c>
    </row>
    <row r="6" spans="1:21" ht="47.1" customHeight="1">
      <c r="A6" s="63">
        <f>IF(INFO!B8&gt;1,2,"")</f>
        <v>2</v>
      </c>
      <c r="B6" s="108" t="str">
        <f>VLOOKUP(A6,saisie!B$5:W$44,2,0)</f>
        <v>AST MONTAUBAN</v>
      </c>
      <c r="C6" s="64">
        <f>VLOOKUP(A6,saisie!B$5:W$44,3,0)</f>
        <v>1982105</v>
      </c>
      <c r="D6" s="62" t="str">
        <f>VLOOKUP(A6,saisie!B$5:W$44,4,0)</f>
        <v>MORENO Chloé</v>
      </c>
      <c r="E6" s="107">
        <f>VLOOKUP(A6,saisie!B$5:W$44,5,0)</f>
        <v>80</v>
      </c>
      <c r="F6" s="107">
        <f>VLOOKUP(A6,saisie!B$5:W$44,6,0)</f>
        <v>82</v>
      </c>
      <c r="G6" s="117">
        <f t="shared" si="0"/>
        <v>162</v>
      </c>
      <c r="H6" s="65">
        <f>VLOOKUP(A6,saisie!B$5:W$44,8,0)</f>
        <v>0</v>
      </c>
      <c r="I6" s="62" t="str">
        <f>VLOOKUP(A6,saisie!B$5:W$44,9,0)</f>
        <v>BERGUE Jules</v>
      </c>
      <c r="J6" s="107">
        <f>VLOOKUP(A6,saisie!B$5:W$44,10,0)</f>
        <v>70</v>
      </c>
      <c r="K6" s="107">
        <f>VLOOKUP(A6,saisie!B$5:W$44,11,0)</f>
        <v>74</v>
      </c>
      <c r="L6" s="117">
        <f t="shared" si="1"/>
        <v>144</v>
      </c>
      <c r="M6" s="65">
        <f>VLOOKUP(A6,saisie!B$5:W$44,13,0)</f>
        <v>0</v>
      </c>
      <c r="N6" s="62" t="str">
        <f>VLOOKUP(A6,saisie!B$5:W$44,14,0)</f>
        <v>RAMALHO Nathéo</v>
      </c>
      <c r="O6" s="107">
        <f>VLOOKUP(A6,saisie!B$5:W$44,15,0)</f>
        <v>71</v>
      </c>
      <c r="P6" s="107">
        <f>VLOOKUP(A6,saisie!B$5:W$44,16,0)</f>
        <v>67</v>
      </c>
      <c r="Q6" s="117">
        <f t="shared" si="2"/>
        <v>138</v>
      </c>
      <c r="R6" s="65">
        <f>VLOOKUP(A6,saisie!B$5:W$44,18,0)</f>
        <v>0</v>
      </c>
      <c r="S6" s="118">
        <f t="shared" si="3"/>
        <v>444</v>
      </c>
      <c r="T6" s="66">
        <f>VLOOKUP(A6,saisie!B$5:W$44,20,0)</f>
        <v>0</v>
      </c>
    </row>
    <row r="7" spans="1:21" ht="47.1" customHeight="1">
      <c r="A7" s="63" t="str">
        <f>IF(INFO!B8&gt;2,3,"")</f>
        <v/>
      </c>
      <c r="B7" s="108" t="e">
        <f>VLOOKUP(A7,saisie!B$5:W$44,2,0)</f>
        <v>#N/A</v>
      </c>
      <c r="C7" s="64" t="e">
        <f>VLOOKUP(A7,saisie!B$5:W$44,3,0)</f>
        <v>#N/A</v>
      </c>
      <c r="D7" s="62" t="e">
        <f>VLOOKUP(A7,saisie!B$5:W$44,4,0)</f>
        <v>#N/A</v>
      </c>
      <c r="E7" s="107" t="e">
        <f>VLOOKUP(A7,saisie!B$5:W$44,5,0)</f>
        <v>#N/A</v>
      </c>
      <c r="F7" s="107" t="e">
        <f>VLOOKUP(A7,saisie!B$5:W$44,6,0)</f>
        <v>#N/A</v>
      </c>
      <c r="G7" s="117" t="e">
        <f t="shared" si="0"/>
        <v>#N/A</v>
      </c>
      <c r="H7" s="65" t="e">
        <f>VLOOKUP(A7,saisie!B$5:W$44,8,0)</f>
        <v>#N/A</v>
      </c>
      <c r="I7" s="62" t="e">
        <f>VLOOKUP(A7,saisie!B$5:W$44,9,0)</f>
        <v>#N/A</v>
      </c>
      <c r="J7" s="107" t="e">
        <f>VLOOKUP(A7,saisie!B$5:W$44,10,0)</f>
        <v>#N/A</v>
      </c>
      <c r="K7" s="107" t="e">
        <f>VLOOKUP(A7,saisie!B$5:W$44,11,0)</f>
        <v>#N/A</v>
      </c>
      <c r="L7" s="117" t="e">
        <f t="shared" si="1"/>
        <v>#N/A</v>
      </c>
      <c r="M7" s="65" t="e">
        <f>VLOOKUP(A7,saisie!B$5:W$44,13,0)</f>
        <v>#N/A</v>
      </c>
      <c r="N7" s="62" t="e">
        <f>VLOOKUP(A7,saisie!B$5:W$44,14,0)</f>
        <v>#N/A</v>
      </c>
      <c r="O7" s="107" t="e">
        <f>VLOOKUP(A7,saisie!B$5:W$44,15,0)</f>
        <v>#N/A</v>
      </c>
      <c r="P7" s="107" t="e">
        <f>VLOOKUP(A7,saisie!B$5:W$44,16,0)</f>
        <v>#N/A</v>
      </c>
      <c r="Q7" s="117" t="e">
        <f t="shared" si="2"/>
        <v>#N/A</v>
      </c>
      <c r="R7" s="65" t="e">
        <f>VLOOKUP(A7,saisie!B$5:W$44,18,0)</f>
        <v>#N/A</v>
      </c>
      <c r="S7" s="118" t="e">
        <f t="shared" si="3"/>
        <v>#N/A</v>
      </c>
      <c r="T7" s="66" t="e">
        <f>VLOOKUP(A7,saisie!B$5:W$44,20,0)</f>
        <v>#N/A</v>
      </c>
    </row>
    <row r="8" spans="1:21" ht="47.1" customHeight="1">
      <c r="A8" s="63" t="str">
        <f>IF(INFO!B8&gt;3,4,"")</f>
        <v/>
      </c>
      <c r="B8" s="108" t="e">
        <f>VLOOKUP(A8,saisie!B$5:W$44,2,0)</f>
        <v>#N/A</v>
      </c>
      <c r="C8" s="64" t="e">
        <f>VLOOKUP(A8,saisie!B$5:W$44,3,0)</f>
        <v>#N/A</v>
      </c>
      <c r="D8" s="62" t="e">
        <f>VLOOKUP(A8,saisie!B$5:W$44,4,0)</f>
        <v>#N/A</v>
      </c>
      <c r="E8" s="107" t="e">
        <f>VLOOKUP(A8,saisie!B$5:W$44,5,0)</f>
        <v>#N/A</v>
      </c>
      <c r="F8" s="107" t="e">
        <f>VLOOKUP(A8,saisie!B$5:W$44,6,0)</f>
        <v>#N/A</v>
      </c>
      <c r="G8" s="117" t="e">
        <f t="shared" si="0"/>
        <v>#N/A</v>
      </c>
      <c r="H8" s="65" t="e">
        <f>VLOOKUP(A8,saisie!B$5:W$44,8,0)</f>
        <v>#N/A</v>
      </c>
      <c r="I8" s="62" t="e">
        <f>VLOOKUP(A8,saisie!B$5:W$44,9,0)</f>
        <v>#N/A</v>
      </c>
      <c r="J8" s="107" t="e">
        <f>VLOOKUP(A8,saisie!B$5:W$44,10,0)</f>
        <v>#N/A</v>
      </c>
      <c r="K8" s="107" t="e">
        <f>VLOOKUP(A8,saisie!B$5:W$44,11,0)</f>
        <v>#N/A</v>
      </c>
      <c r="L8" s="117" t="e">
        <f t="shared" si="1"/>
        <v>#N/A</v>
      </c>
      <c r="M8" s="65" t="e">
        <f>VLOOKUP(A8,saisie!B$5:W$44,13,0)</f>
        <v>#N/A</v>
      </c>
      <c r="N8" s="62" t="e">
        <f>VLOOKUP(A8,saisie!B$5:W$44,14,0)</f>
        <v>#N/A</v>
      </c>
      <c r="O8" s="107" t="e">
        <f>VLOOKUP(A8,saisie!B$5:W$44,15,0)</f>
        <v>#N/A</v>
      </c>
      <c r="P8" s="107" t="e">
        <f>VLOOKUP(A8,saisie!B$5:W$44,16,0)</f>
        <v>#N/A</v>
      </c>
      <c r="Q8" s="117" t="e">
        <f t="shared" si="2"/>
        <v>#N/A</v>
      </c>
      <c r="R8" s="65" t="e">
        <f>VLOOKUP(A8,saisie!B$5:W$44,18,0)</f>
        <v>#N/A</v>
      </c>
      <c r="S8" s="118" t="e">
        <f t="shared" si="3"/>
        <v>#N/A</v>
      </c>
      <c r="T8" s="66" t="e">
        <f>VLOOKUP(A8,saisie!B$5:W$44,20,0)</f>
        <v>#N/A</v>
      </c>
    </row>
    <row r="9" spans="1:21" ht="47.1" customHeight="1">
      <c r="A9" s="63" t="str">
        <f>IF(INFO!B8&gt;4,5,"")</f>
        <v/>
      </c>
      <c r="B9" s="108" t="e">
        <f>VLOOKUP(A9,saisie!B$5:W$44,2,0)</f>
        <v>#N/A</v>
      </c>
      <c r="C9" s="64" t="e">
        <f>VLOOKUP(A9,saisie!B$5:W$44,3,0)</f>
        <v>#N/A</v>
      </c>
      <c r="D9" s="62" t="e">
        <f>VLOOKUP(A9,saisie!B$5:W$44,4,0)</f>
        <v>#N/A</v>
      </c>
      <c r="E9" s="107" t="e">
        <f>VLOOKUP(A9,saisie!B$5:W$44,5,0)</f>
        <v>#N/A</v>
      </c>
      <c r="F9" s="107" t="e">
        <f>VLOOKUP(A9,saisie!B$5:W$44,6,0)</f>
        <v>#N/A</v>
      </c>
      <c r="G9" s="117" t="e">
        <f t="shared" si="0"/>
        <v>#N/A</v>
      </c>
      <c r="H9" s="65" t="e">
        <f>VLOOKUP(A9,saisie!B$5:W$44,8,0)</f>
        <v>#N/A</v>
      </c>
      <c r="I9" s="62" t="e">
        <f>VLOOKUP(A9,saisie!B$5:W$44,9,0)</f>
        <v>#N/A</v>
      </c>
      <c r="J9" s="107" t="e">
        <f>VLOOKUP(A9,saisie!B$5:W$44,10,0)</f>
        <v>#N/A</v>
      </c>
      <c r="K9" s="107" t="e">
        <f>VLOOKUP(A9,saisie!B$5:W$44,11,0)</f>
        <v>#N/A</v>
      </c>
      <c r="L9" s="117" t="e">
        <f t="shared" si="1"/>
        <v>#N/A</v>
      </c>
      <c r="M9" s="65" t="e">
        <f>VLOOKUP(A9,saisie!B$5:W$44,13,0)</f>
        <v>#N/A</v>
      </c>
      <c r="N9" s="62" t="e">
        <f>VLOOKUP(A9,saisie!B$5:W$44,14,0)</f>
        <v>#N/A</v>
      </c>
      <c r="O9" s="107" t="e">
        <f>VLOOKUP(A9,saisie!B$5:W$44,15,0)</f>
        <v>#N/A</v>
      </c>
      <c r="P9" s="107" t="e">
        <f>VLOOKUP(A9,saisie!B$5:W$44,16,0)</f>
        <v>#N/A</v>
      </c>
      <c r="Q9" s="117" t="e">
        <f t="shared" si="2"/>
        <v>#N/A</v>
      </c>
      <c r="R9" s="65" t="e">
        <f>VLOOKUP(A9,saisie!B$5:W$44,18,0)</f>
        <v>#N/A</v>
      </c>
      <c r="S9" s="118" t="e">
        <f t="shared" si="3"/>
        <v>#N/A</v>
      </c>
      <c r="T9" s="66" t="e">
        <f>VLOOKUP(A9,saisie!B$5:W$44,20,0)</f>
        <v>#N/A</v>
      </c>
    </row>
    <row r="10" spans="1:21" ht="47.1" customHeight="1">
      <c r="A10" s="63" t="str">
        <f>IF(INFO!B8&gt;5,6,"")</f>
        <v/>
      </c>
      <c r="B10" s="108" t="e">
        <f>VLOOKUP(A10,saisie!B$5:W$44,2,0)</f>
        <v>#N/A</v>
      </c>
      <c r="C10" s="64" t="e">
        <f>VLOOKUP(A10,saisie!B$5:W$44,3,0)</f>
        <v>#N/A</v>
      </c>
      <c r="D10" s="62" t="e">
        <f>VLOOKUP(A10,saisie!B$5:W$44,4,0)</f>
        <v>#N/A</v>
      </c>
      <c r="E10" s="107" t="e">
        <f>VLOOKUP(A10,saisie!B$5:W$44,5,0)</f>
        <v>#N/A</v>
      </c>
      <c r="F10" s="107" t="e">
        <f>VLOOKUP(A10,saisie!B$5:W$44,6,0)</f>
        <v>#N/A</v>
      </c>
      <c r="G10" s="117" t="e">
        <f t="shared" si="0"/>
        <v>#N/A</v>
      </c>
      <c r="H10" s="65" t="e">
        <f>VLOOKUP(A10,saisie!B$5:W$44,8,0)</f>
        <v>#N/A</v>
      </c>
      <c r="I10" s="62" t="e">
        <f>VLOOKUP(A10,saisie!B$5:W$44,9,0)</f>
        <v>#N/A</v>
      </c>
      <c r="J10" s="107" t="e">
        <f>VLOOKUP(A10,saisie!B$5:W$44,10,0)</f>
        <v>#N/A</v>
      </c>
      <c r="K10" s="107" t="e">
        <f>VLOOKUP(A10,saisie!B$5:W$44,11,0)</f>
        <v>#N/A</v>
      </c>
      <c r="L10" s="117" t="e">
        <f t="shared" si="1"/>
        <v>#N/A</v>
      </c>
      <c r="M10" s="65" t="e">
        <f>VLOOKUP(A10,saisie!B$5:W$44,13,0)</f>
        <v>#N/A</v>
      </c>
      <c r="N10" s="62" t="e">
        <f>VLOOKUP(A10,saisie!B$5:W$44,14,0)</f>
        <v>#N/A</v>
      </c>
      <c r="O10" s="107" t="e">
        <f>VLOOKUP(A10,saisie!B$5:W$44,15,0)</f>
        <v>#N/A</v>
      </c>
      <c r="P10" s="107" t="e">
        <f>VLOOKUP(A10,saisie!B$5:W$44,16,0)</f>
        <v>#N/A</v>
      </c>
      <c r="Q10" s="117" t="e">
        <f t="shared" si="2"/>
        <v>#N/A</v>
      </c>
      <c r="R10" s="65" t="e">
        <f>VLOOKUP(A10,saisie!B$5:W$44,18,0)</f>
        <v>#N/A</v>
      </c>
      <c r="S10" s="118" t="e">
        <f t="shared" si="3"/>
        <v>#N/A</v>
      </c>
      <c r="T10" s="66" t="e">
        <f>VLOOKUP(A10,saisie!B$5:W$44,20,0)</f>
        <v>#N/A</v>
      </c>
    </row>
    <row r="11" spans="1:21" ht="47.1" customHeight="1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7.1" customHeight="1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7.1" customHeight="1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7.1" customHeight="1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7.1" customHeight="1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7.1" customHeight="1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7.1" customHeight="1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7.1" customHeight="1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7.1" customHeight="1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7.1" customHeight="1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7.1" customHeight="1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7.1" customHeight="1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7.1" customHeight="1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7.1" customHeight="1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7.1" customHeight="1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7.1" customHeight="1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7.1" customHeight="1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7.1" customHeight="1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7.1" customHeight="1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7.1" customHeight="1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7.1" customHeight="1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7.1" customHeight="1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7.1" customHeight="1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7.1" customHeight="1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7.1" customHeight="1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7.1" customHeight="1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7.1" customHeight="1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7.1" customHeight="1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7.1" customHeight="1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7.1" customHeight="1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7.1" customHeight="1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7.1" customHeight="1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7.1" customHeight="1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7.1" customHeight="1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>
      <c r="A1" s="14"/>
      <c r="B1" s="177" t="str">
        <f>CONCATENATE(INFO!B7,"    ",INFO!B9)</f>
        <v>PISTOLET    MIDI-PYRENEES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4"/>
      <c r="V1" s="14"/>
    </row>
    <row r="2" spans="1:22" ht="60" customHeight="1">
      <c r="A2" s="14"/>
      <c r="B2" s="178" t="s">
        <v>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4"/>
      <c r="V2" s="14"/>
    </row>
    <row r="3" spans="1:22" ht="5.0999999999999996" customHeight="1" thickBot="1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4.95" customHeight="1" thickBot="1">
      <c r="A4" s="25"/>
      <c r="B4" s="119" t="s">
        <v>1</v>
      </c>
      <c r="C4" s="175" t="str">
        <f>'M Q'!B5</f>
        <v>38 TSM</v>
      </c>
      <c r="D4" s="176"/>
      <c r="E4" s="120">
        <f>'M Q'!S5</f>
        <v>457</v>
      </c>
      <c r="F4" s="27"/>
      <c r="G4" s="119" t="str">
        <f>IF(INFO!B8&gt;7,"8e MQ","")</f>
        <v/>
      </c>
      <c r="H4" s="175" t="str">
        <f>IF(INFO!B8&gt;7,'M Q'!B12,"")</f>
        <v/>
      </c>
      <c r="I4" s="176"/>
      <c r="J4" s="120" t="str">
        <f>IF(INFO!B8&gt;7,'M Q'!S12,"")</f>
        <v/>
      </c>
      <c r="K4" s="27"/>
      <c r="L4" s="119" t="s">
        <v>59</v>
      </c>
      <c r="M4" s="175" t="str">
        <f>IF(INFO!B8&gt;8,'M Q'!B13,"")</f>
        <v/>
      </c>
      <c r="N4" s="176"/>
      <c r="O4" s="120" t="str">
        <f>IF(INFO!B8&gt;8,'M Q'!S13,"")</f>
        <v/>
      </c>
      <c r="P4" s="25"/>
      <c r="Q4" s="119" t="s">
        <v>52</v>
      </c>
      <c r="R4" s="175" t="str">
        <f>IF(INFO!B8&gt;15,'M Q'!B20,"")</f>
        <v/>
      </c>
      <c r="S4" s="176"/>
      <c r="T4" s="120" t="str">
        <f>IF(INFO!B8&gt;15,'M Q'!S20,"")</f>
        <v/>
      </c>
      <c r="U4" s="25"/>
    </row>
    <row r="5" spans="1:22" s="26" customFormat="1" ht="24.95" customHeight="1" thickBot="1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4.95" customHeight="1">
      <c r="A6" s="24"/>
      <c r="B6" s="124" t="str">
        <f>'M Q'!D5</f>
        <v>TOUSSAIN Jules</v>
      </c>
      <c r="C6" s="125">
        <f>'M Q'!E5</f>
        <v>77</v>
      </c>
      <c r="D6" s="126">
        <f>'M Q'!F5</f>
        <v>71</v>
      </c>
      <c r="E6" s="124">
        <f>SUM(C6:D6)</f>
        <v>148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4.95" customHeight="1">
      <c r="A7" s="24"/>
      <c r="B7" s="127" t="str">
        <f>'M Q'!I5</f>
        <v>SAFFON Nathanael</v>
      </c>
      <c r="C7" s="128">
        <f>'M Q'!J5</f>
        <v>74</v>
      </c>
      <c r="D7" s="129">
        <f>'M Q'!K5</f>
        <v>80</v>
      </c>
      <c r="E7" s="127">
        <f>SUM(C7:D7)</f>
        <v>154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4.95" customHeight="1" thickBot="1">
      <c r="A8" s="24"/>
      <c r="B8" s="130" t="str">
        <f>'M Q'!N5</f>
        <v>ESTOR Valentin</v>
      </c>
      <c r="C8" s="131">
        <f>'M Q'!O5</f>
        <v>78</v>
      </c>
      <c r="D8" s="132">
        <f>'M Q'!P5</f>
        <v>77</v>
      </c>
      <c r="E8" s="130">
        <f>SUM(C8:D8)</f>
        <v>155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4.95" customHeight="1" thickBot="1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4.95" customHeight="1" thickBot="1">
      <c r="A10" s="25"/>
      <c r="B10" s="119" t="s">
        <v>2</v>
      </c>
      <c r="C10" s="175" t="str">
        <f>'M Q'!B6</f>
        <v>AST MONTAUBAN</v>
      </c>
      <c r="D10" s="176"/>
      <c r="E10" s="120">
        <f>'M Q'!S6</f>
        <v>444</v>
      </c>
      <c r="F10" s="27"/>
      <c r="G10" s="119" t="str">
        <f>IF(INFO!B8&gt;6,"7e MQ","")</f>
        <v/>
      </c>
      <c r="H10" s="175" t="str">
        <f>IF(INFO!B8&gt;6,'M Q'!B11,"")</f>
        <v/>
      </c>
      <c r="I10" s="176"/>
      <c r="J10" s="120" t="str">
        <f>IF(INFO!B8&gt;6,'M Q'!S11,"")</f>
        <v/>
      </c>
      <c r="K10" s="27"/>
      <c r="L10" s="119" t="s">
        <v>58</v>
      </c>
      <c r="M10" s="175" t="str">
        <f>IF(INFO!B8&gt;9,'M Q'!B14,"")</f>
        <v/>
      </c>
      <c r="N10" s="176"/>
      <c r="O10" s="120" t="str">
        <f>IF(INFO!B8&gt;9,'M Q'!S14,"")</f>
        <v/>
      </c>
      <c r="P10" s="25"/>
      <c r="Q10" s="119" t="s">
        <v>53</v>
      </c>
      <c r="R10" s="175" t="str">
        <f>IF(INFO!B8&gt;14,'M Q'!B19,"")</f>
        <v/>
      </c>
      <c r="S10" s="176"/>
      <c r="T10" s="120" t="str">
        <f>IF(INFO!B8&gt;14,'M Q'!S19,"")</f>
        <v/>
      </c>
      <c r="U10" s="25"/>
    </row>
    <row r="11" spans="1:22" s="26" customFormat="1" ht="24.95" customHeight="1" thickBot="1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4.95" customHeight="1">
      <c r="A12" s="24"/>
      <c r="B12" s="124" t="str">
        <f>'M Q'!D6</f>
        <v>MORENO Chloé</v>
      </c>
      <c r="C12" s="125">
        <f>'M Q'!E6</f>
        <v>80</v>
      </c>
      <c r="D12" s="126">
        <f>'M Q'!F6</f>
        <v>82</v>
      </c>
      <c r="E12" s="124">
        <f>SUM(C12:D12)</f>
        <v>162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4.95" customHeight="1">
      <c r="A13" s="24"/>
      <c r="B13" s="127" t="str">
        <f>'M Q'!I6</f>
        <v>BERGUE Jules</v>
      </c>
      <c r="C13" s="128">
        <f>'M Q'!J6</f>
        <v>70</v>
      </c>
      <c r="D13" s="129">
        <f>'M Q'!K6</f>
        <v>74</v>
      </c>
      <c r="E13" s="127">
        <f>SUM(C13:D13)</f>
        <v>144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4.95" customHeight="1" thickBot="1">
      <c r="A14" s="24"/>
      <c r="B14" s="130" t="str">
        <f>'M Q'!N6</f>
        <v>RAMALHO Nathéo</v>
      </c>
      <c r="C14" s="131">
        <f>'M Q'!O6</f>
        <v>71</v>
      </c>
      <c r="D14" s="132">
        <f>'M Q'!P6</f>
        <v>67</v>
      </c>
      <c r="E14" s="130">
        <f>SUM(C14:D14)</f>
        <v>138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4.95" customHeight="1" thickBot="1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4.95" customHeight="1" thickBot="1">
      <c r="A16" s="25"/>
      <c r="B16" s="119" t="str">
        <f>IF(INFO!B8&gt;2,"3e MQ","")</f>
        <v/>
      </c>
      <c r="C16" s="175" t="str">
        <f>IF(INFO!B8&gt;2,'M Q'!B7,"")</f>
        <v/>
      </c>
      <c r="D16" s="176"/>
      <c r="E16" s="120" t="str">
        <f>IF(INFO!B8&gt;2,'M Q'!S7,"")</f>
        <v/>
      </c>
      <c r="F16" s="27"/>
      <c r="G16" s="119" t="str">
        <f>IF(INFO!B8&gt;5,"6e MQ","")</f>
        <v/>
      </c>
      <c r="H16" s="175" t="str">
        <f>IF(INFO!B8&gt;5,'M Q'!B10,"")</f>
        <v/>
      </c>
      <c r="I16" s="176"/>
      <c r="J16" s="120" t="str">
        <f>IF(INFO!B8&gt;5,'M Q'!S10,"")</f>
        <v/>
      </c>
      <c r="K16" s="27"/>
      <c r="L16" s="119" t="s">
        <v>57</v>
      </c>
      <c r="M16" s="175" t="str">
        <f>IF(INFO!B8&gt;10,'M Q'!B15,"")</f>
        <v/>
      </c>
      <c r="N16" s="176"/>
      <c r="O16" s="120" t="str">
        <f>IF(INFO!B8&gt;10,'M Q'!S15,"")</f>
        <v/>
      </c>
      <c r="P16" s="25"/>
      <c r="Q16" s="119" t="s">
        <v>54</v>
      </c>
      <c r="R16" s="175" t="str">
        <f>IF(INFO!B8&gt;13,'M Q'!B18,"")</f>
        <v/>
      </c>
      <c r="S16" s="176"/>
      <c r="T16" s="120" t="str">
        <f>IF(INFO!B8&gt;13,'M Q'!S18,"")</f>
        <v/>
      </c>
      <c r="U16" s="25"/>
    </row>
    <row r="17" spans="1:21" s="26" customFormat="1" ht="24.95" customHeight="1" thickBot="1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4.95" customHeight="1">
      <c r="A18" s="24"/>
      <c r="B18" s="124" t="str">
        <f>IF(INFO!B8&gt;2,'M Q'!D7,"")</f>
        <v/>
      </c>
      <c r="C18" s="125" t="str">
        <f>IF(INFO!B8&gt;2,'M Q'!E7,"")</f>
        <v/>
      </c>
      <c r="D18" s="126" t="str">
        <f>IF(INFO!B8&gt;2,'M Q'!F7,"")</f>
        <v/>
      </c>
      <c r="E18" s="124" t="str">
        <f>IF(INFO!B8&gt;2,SUM(C18:D18),"")</f>
        <v/>
      </c>
      <c r="F18" s="27"/>
      <c r="G18" s="124" t="str">
        <f>IF(INFO!B8&gt;5,'M Q'!D10,"")</f>
        <v/>
      </c>
      <c r="H18" s="125" t="str">
        <f>IF(INFO!B8&gt;5,'M Q'!E10,"")</f>
        <v/>
      </c>
      <c r="I18" s="126" t="str">
        <f>IF(INFO!B8&gt;5,'M Q'!F10,"")</f>
        <v/>
      </c>
      <c r="J18" s="124" t="str">
        <f>IF(INFO!B8&gt;5,SUM(H18:I18),"")</f>
        <v/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4.95" customHeight="1">
      <c r="A19" s="24"/>
      <c r="B19" s="127" t="str">
        <f>IF(INFO!B8&gt;2,'M Q'!I7,"")</f>
        <v/>
      </c>
      <c r="C19" s="128" t="str">
        <f>IF(INFO!B8&gt;2,'M Q'!J7,"")</f>
        <v/>
      </c>
      <c r="D19" s="129" t="str">
        <f>IF(INFO!B8&gt;2,'M Q'!K7,"")</f>
        <v/>
      </c>
      <c r="E19" s="127" t="str">
        <f>IF(INFO!B8&gt;2,SUM(C19:D19),"")</f>
        <v/>
      </c>
      <c r="F19" s="27"/>
      <c r="G19" s="127" t="str">
        <f>IF(INFO!B8&gt;5,'M Q'!I10,"")</f>
        <v/>
      </c>
      <c r="H19" s="128" t="str">
        <f>IF(INFO!B8&gt;5,'M Q'!J10,"")</f>
        <v/>
      </c>
      <c r="I19" s="129" t="str">
        <f>IF(INFO!B8&gt;5,'M Q'!K10,"")</f>
        <v/>
      </c>
      <c r="J19" s="127" t="str">
        <f>IF(INFO!B8&gt;5,SUM(H19:I19),"")</f>
        <v/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4.95" customHeight="1" thickBot="1">
      <c r="A20" s="24"/>
      <c r="B20" s="130" t="str">
        <f>IF(INFO!B8&gt;2,'M Q'!N7,"")</f>
        <v/>
      </c>
      <c r="C20" s="131" t="str">
        <f>IF(INFO!B8&gt;2,'M Q'!O7,"")</f>
        <v/>
      </c>
      <c r="D20" s="132" t="str">
        <f>IF(INFO!B8&gt;2,'M Q'!P7,"")</f>
        <v/>
      </c>
      <c r="E20" s="130" t="str">
        <f>IF(INFO!B8&gt;2,SUM(C20:D20),"")</f>
        <v/>
      </c>
      <c r="F20" s="27"/>
      <c r="G20" s="130" t="str">
        <f>IF(INFO!B8&gt;5,'M Q'!N10,"")</f>
        <v/>
      </c>
      <c r="H20" s="131" t="str">
        <f>IF(INFO!B8&gt;5,'M Q'!O10,"")</f>
        <v/>
      </c>
      <c r="I20" s="132" t="str">
        <f>IF(INFO!B8&gt;5,'M Q'!P10,"")</f>
        <v/>
      </c>
      <c r="J20" s="130" t="str">
        <f>IF(INFO!B8&gt;5,SUM(H20:I20),"")</f>
        <v/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4.95" customHeight="1" thickBot="1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4.95" customHeight="1" thickBot="1">
      <c r="A22" s="25"/>
      <c r="B22" s="119" t="str">
        <f>IF(INFO!B8&gt;3,"4e MQ","")</f>
        <v/>
      </c>
      <c r="C22" s="175" t="str">
        <f>IF(INFO!B8&gt;3,'M Q'!B8,"")</f>
        <v/>
      </c>
      <c r="D22" s="176"/>
      <c r="E22" s="120" t="str">
        <f>IF(INFO!B8&gt;3,'M Q'!S8,"")</f>
        <v/>
      </c>
      <c r="F22" s="27"/>
      <c r="G22" s="119" t="str">
        <f>IF(INFO!B8&gt;4,"5e MQ","")</f>
        <v/>
      </c>
      <c r="H22" s="175" t="str">
        <f>IF(INFO!B8&gt;4,'M Q'!B9,"")</f>
        <v/>
      </c>
      <c r="I22" s="176"/>
      <c r="J22" s="120" t="str">
        <f>IF(INFO!B8&gt;4,'M Q'!S9,"")</f>
        <v/>
      </c>
      <c r="K22" s="27"/>
      <c r="L22" s="119" t="s">
        <v>56</v>
      </c>
      <c r="M22" s="175" t="str">
        <f>IF(INFO!B8&gt;11,'M Q'!B16,"")</f>
        <v/>
      </c>
      <c r="N22" s="176"/>
      <c r="O22" s="120" t="str">
        <f>IF(INFO!B8&gt;11,'M Q'!S16,"")</f>
        <v/>
      </c>
      <c r="P22" s="25"/>
      <c r="Q22" s="119" t="s">
        <v>55</v>
      </c>
      <c r="R22" s="175" t="str">
        <f>IF(INFO!B8&gt;12,'M Q'!B17,"")</f>
        <v/>
      </c>
      <c r="S22" s="176"/>
      <c r="T22" s="120" t="str">
        <f>IF(INFO!B8&gt;12,'M Q'!S17,"")</f>
        <v/>
      </c>
      <c r="U22" s="25"/>
    </row>
    <row r="23" spans="1:21" s="26" customFormat="1" ht="24.95" customHeight="1" thickBot="1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4.95" customHeight="1">
      <c r="A24" s="24"/>
      <c r="B24" s="124" t="str">
        <f>IF(INFO!B8&gt;3,'M Q'!D8,"")</f>
        <v/>
      </c>
      <c r="C24" s="125" t="str">
        <f>IF(INFO!B8&gt;3,'M Q'!E8,"")</f>
        <v/>
      </c>
      <c r="D24" s="126" t="str">
        <f>IF(INFO!B8&gt;3,'M Q'!F8,"")</f>
        <v/>
      </c>
      <c r="E24" s="124" t="str">
        <f>IF(INFO!B8&gt;3,SUM(C24:D24),"")</f>
        <v/>
      </c>
      <c r="F24" s="27"/>
      <c r="G24" s="124" t="str">
        <f>IF(INFO!B8&gt;4,'M Q'!D9,"")</f>
        <v/>
      </c>
      <c r="H24" s="125" t="str">
        <f>IF(INFO!B8&gt;4,'M Q'!E9,"")</f>
        <v/>
      </c>
      <c r="I24" s="126" t="str">
        <f>IF(INFO!B8&gt;4,'M Q'!F9,"")</f>
        <v/>
      </c>
      <c r="J24" s="124" t="str">
        <f>IF(INFO!B8&gt;4,SUM(H24:I24),"")</f>
        <v/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4.95" customHeight="1">
      <c r="A25" s="24"/>
      <c r="B25" s="127" t="str">
        <f>IF(INFO!B8&gt;3,'M Q'!I8,"")</f>
        <v/>
      </c>
      <c r="C25" s="128" t="str">
        <f>IF(INFO!B8&gt;3,'M Q'!J8,"")</f>
        <v/>
      </c>
      <c r="D25" s="129" t="str">
        <f>IF(INFO!B8&gt;3,'M Q'!K8,"")</f>
        <v/>
      </c>
      <c r="E25" s="127" t="str">
        <f>IF(INFO!B8&gt;3,SUM(C25:D25),"")</f>
        <v/>
      </c>
      <c r="F25" s="27"/>
      <c r="G25" s="127" t="str">
        <f>IF(INFO!B8&gt;4,'M Q'!I9,"")</f>
        <v/>
      </c>
      <c r="H25" s="128" t="str">
        <f>IF(INFO!B8&gt;4,'M Q'!J9,"")</f>
        <v/>
      </c>
      <c r="I25" s="129" t="str">
        <f>IF(INFO!B8&gt;4,'M Q'!K9,"")</f>
        <v/>
      </c>
      <c r="J25" s="127" t="str">
        <f>IF(INFO!B8&gt;4,SUM(H25:I25),"")</f>
        <v/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4.95" customHeight="1" thickBot="1">
      <c r="A26" s="24"/>
      <c r="B26" s="130" t="str">
        <f>IF(INFO!B8&gt;3,'M Q'!N8,"")</f>
        <v/>
      </c>
      <c r="C26" s="131" t="str">
        <f>IF(INFO!B8&gt;3,'M Q'!O8,"")</f>
        <v/>
      </c>
      <c r="D26" s="132" t="str">
        <f>IF(INFO!B8&gt;3,'M Q'!P8,"")</f>
        <v/>
      </c>
      <c r="E26" s="130" t="str">
        <f>IF(INFO!B8&gt;3,SUM(C26:D26),"")</f>
        <v/>
      </c>
      <c r="F26" s="27"/>
      <c r="G26" s="130" t="str">
        <f>IF(INFO!B8&gt;4,'M Q'!N9,"")</f>
        <v/>
      </c>
      <c r="H26" s="131" t="str">
        <f>IF(INFO!B8&gt;4,'M Q'!O9,"")</f>
        <v/>
      </c>
      <c r="I26" s="132" t="str">
        <f>IF(INFO!B8&gt;4,'M Q'!P9,"")</f>
        <v/>
      </c>
      <c r="J26" s="130" t="str">
        <f>IF(INFO!B8&gt;4,SUM(H26:I26),"")</f>
        <v/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7.100000000000001" customHeight="1"/>
  </sheetData>
  <sheetProtection password="CF6D" sheet="1" objects="1" scenarios="1" formatColumns="0" selectLockedCells="1"/>
  <mergeCells count="18">
    <mergeCell ref="H4:I4"/>
    <mergeCell ref="R4:S4"/>
    <mergeCell ref="H22:I22"/>
    <mergeCell ref="R22:S22"/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89" activePane="bottomLeft" state="frozenSplit"/>
      <selection sqref="A1:C1"/>
      <selection pane="bottomLeft" activeCell="I103" sqref="I103"/>
    </sheetView>
  </sheetViews>
  <sheetFormatPr baseColWidth="10" defaultColWidth="8.125" defaultRowHeight="27.95" customHeight="1" outlineLevelRow="2"/>
  <cols>
    <col min="1" max="1" width="8.125" style="21" customWidth="1"/>
    <col min="2" max="2" width="10.625" style="21" customWidth="1"/>
    <col min="3" max="4" width="8.125" style="21" customWidth="1"/>
    <col min="5" max="6" width="6.625" style="21" customWidth="1"/>
    <col min="7" max="8" width="8.125" style="21" customWidth="1"/>
    <col min="9" max="9" width="10.625" style="21" customWidth="1"/>
    <col min="10" max="11" width="8.125" style="21" customWidth="1"/>
    <col min="12" max="12" width="10.625" style="21" customWidth="1"/>
    <col min="13" max="14" width="8.125" style="21" customWidth="1"/>
    <col min="15" max="16" width="6.625" style="21" customWidth="1"/>
    <col min="17" max="18" width="8.125" style="21" customWidth="1"/>
    <col min="19" max="19" width="10.625" style="21" customWidth="1"/>
    <col min="20" max="16384" width="8.125" style="21"/>
  </cols>
  <sheetData>
    <row r="1" spans="1:22" ht="50.1" customHeight="1">
      <c r="A1" s="179" t="str">
        <f>INFO!B7</f>
        <v>PISTOLET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2" ht="60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2" ht="60" customHeight="1" outlineLevel="1" thickBot="1">
      <c r="A3" s="179" t="s">
        <v>25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2" s="28" customFormat="1" ht="27.95" customHeight="1" outlineLevel="1" thickBot="1">
      <c r="B4" s="197" t="str">
        <f>'Clb Q'!C4</f>
        <v>38 TSM</v>
      </c>
      <c r="C4" s="198"/>
      <c r="D4" s="199"/>
      <c r="E4" s="206" t="s">
        <v>11</v>
      </c>
      <c r="F4" s="207"/>
      <c r="G4" s="197" t="str">
        <f>'Clb Q'!R4</f>
        <v/>
      </c>
      <c r="H4" s="198"/>
      <c r="I4" s="199"/>
      <c r="L4" s="197" t="str">
        <f>'Clb Q'!H22</f>
        <v/>
      </c>
      <c r="M4" s="198"/>
      <c r="N4" s="199"/>
      <c r="O4" s="206" t="s">
        <v>11</v>
      </c>
      <c r="P4" s="207"/>
      <c r="Q4" s="197" t="str">
        <f>'Clb Q'!M22</f>
        <v/>
      </c>
      <c r="R4" s="198"/>
      <c r="S4" s="199"/>
    </row>
    <row r="5" spans="1:22" s="27" customFormat="1" ht="21.95" customHeight="1" outlineLevel="2">
      <c r="B5" s="194" t="str">
        <f>'Clb Q'!B6</f>
        <v>TOUSSAIN Jules</v>
      </c>
      <c r="C5" s="195"/>
      <c r="D5" s="196"/>
      <c r="E5" s="97">
        <v>3</v>
      </c>
      <c r="F5" s="98">
        <v>4</v>
      </c>
      <c r="G5" s="194" t="str">
        <f>'Clb Q'!Q6</f>
        <v/>
      </c>
      <c r="H5" s="195"/>
      <c r="I5" s="196"/>
      <c r="L5" s="194" t="str">
        <f>'Clb Q'!G24</f>
        <v/>
      </c>
      <c r="M5" s="195"/>
      <c r="N5" s="196"/>
      <c r="O5" s="97">
        <v>13</v>
      </c>
      <c r="P5" s="98">
        <v>14</v>
      </c>
      <c r="Q5" s="194" t="str">
        <f>'Clb Q'!L24</f>
        <v/>
      </c>
      <c r="R5" s="195"/>
      <c r="S5" s="196"/>
    </row>
    <row r="6" spans="1:22" s="27" customFormat="1" ht="21.95" customHeight="1" outlineLevel="2">
      <c r="B6" s="194" t="str">
        <f>'Clb Q'!B7</f>
        <v>SAFFON Nathanael</v>
      </c>
      <c r="C6" s="195"/>
      <c r="D6" s="196"/>
      <c r="E6" s="97">
        <v>5</v>
      </c>
      <c r="F6" s="98">
        <v>6</v>
      </c>
      <c r="G6" s="194" t="str">
        <f>'Clb Q'!Q7</f>
        <v/>
      </c>
      <c r="H6" s="195"/>
      <c r="I6" s="196"/>
      <c r="L6" s="194" t="str">
        <f>'Clb Q'!G25</f>
        <v/>
      </c>
      <c r="M6" s="195"/>
      <c r="N6" s="196"/>
      <c r="O6" s="97">
        <v>15</v>
      </c>
      <c r="P6" s="98">
        <v>16</v>
      </c>
      <c r="Q6" s="194" t="str">
        <f>'Clb Q'!L25</f>
        <v/>
      </c>
      <c r="R6" s="195"/>
      <c r="S6" s="196"/>
    </row>
    <row r="7" spans="1:22" s="27" customFormat="1" ht="21.95" customHeight="1" outlineLevel="2" thickBot="1">
      <c r="B7" s="194" t="str">
        <f>'Clb Q'!B8</f>
        <v>ESTOR Valentin</v>
      </c>
      <c r="C7" s="195"/>
      <c r="D7" s="196"/>
      <c r="E7" s="97">
        <v>7</v>
      </c>
      <c r="F7" s="98">
        <v>8</v>
      </c>
      <c r="G7" s="194" t="str">
        <f>'Clb Q'!Q8</f>
        <v/>
      </c>
      <c r="H7" s="195"/>
      <c r="I7" s="196"/>
      <c r="L7" s="194" t="str">
        <f>'Clb Q'!G26</f>
        <v/>
      </c>
      <c r="M7" s="195"/>
      <c r="N7" s="196"/>
      <c r="O7" s="97">
        <v>17</v>
      </c>
      <c r="P7" s="98">
        <v>18</v>
      </c>
      <c r="Q7" s="194" t="str">
        <f>'Clb Q'!L26</f>
        <v/>
      </c>
      <c r="R7" s="195"/>
      <c r="S7" s="196"/>
    </row>
    <row r="8" spans="1:22" ht="21.95" customHeight="1" outlineLevel="1">
      <c r="A8" s="23" t="str">
        <f>IF(D8="","",IF(D8&gt;1,1,0))</f>
        <v/>
      </c>
      <c r="B8" s="183" t="str">
        <f>IF(D8="","",SUM(A8:A12))</f>
        <v/>
      </c>
      <c r="C8" s="192"/>
      <c r="D8" s="59"/>
      <c r="E8" s="227"/>
      <c r="F8" s="228"/>
      <c r="G8" s="59"/>
      <c r="H8" s="182" t="str">
        <f>IF(G8="","",SUM(J8:J12))</f>
        <v/>
      </c>
      <c r="I8" s="183"/>
      <c r="J8" s="29" t="str">
        <f>IF(G8="","",IF(G8&gt;1,1,0))</f>
        <v/>
      </c>
      <c r="K8" s="23" t="str">
        <f>IF(N8="","",IF(N8&gt;1,1,0))</f>
        <v/>
      </c>
      <c r="L8" s="183" t="str">
        <f>IF(N8="","",SUM(K8:K12))</f>
        <v/>
      </c>
      <c r="M8" s="192"/>
      <c r="N8" s="59"/>
      <c r="O8" s="214"/>
      <c r="P8" s="215"/>
      <c r="Q8" s="59"/>
      <c r="R8" s="182" t="str">
        <f>IF(Q8="","",SUM(T8:T12))</f>
        <v/>
      </c>
      <c r="S8" s="183"/>
      <c r="T8" s="29" t="str">
        <f>IF(Q8="","",IF(Q8&gt;1,1,0))</f>
        <v/>
      </c>
      <c r="V8" s="23"/>
    </row>
    <row r="9" spans="1:22" ht="21.95" customHeight="1" outlineLevel="1">
      <c r="A9" s="23" t="str">
        <f>IF(D9="","",IF(D9&gt;1,1,0))</f>
        <v/>
      </c>
      <c r="B9" s="185"/>
      <c r="C9" s="193"/>
      <c r="D9" s="60"/>
      <c r="E9" s="225"/>
      <c r="F9" s="226"/>
      <c r="G9" s="60"/>
      <c r="H9" s="184"/>
      <c r="I9" s="185"/>
      <c r="J9" s="29" t="str">
        <f>IF(G9="","",IF(G9&gt;1,1,0))</f>
        <v/>
      </c>
      <c r="K9" s="23" t="str">
        <f>IF(N9="","",IF(N9&gt;1,1,0))</f>
        <v/>
      </c>
      <c r="L9" s="185"/>
      <c r="M9" s="193"/>
      <c r="N9" s="60"/>
      <c r="O9" s="180"/>
      <c r="P9" s="181"/>
      <c r="Q9" s="60"/>
      <c r="R9" s="184"/>
      <c r="S9" s="185"/>
      <c r="T9" s="29" t="str">
        <f>IF(Q9="","",IF(Q9&gt;1,1,0))</f>
        <v/>
      </c>
      <c r="V9" s="23"/>
    </row>
    <row r="10" spans="1:22" ht="21.95" customHeight="1" outlineLevel="1">
      <c r="A10" s="23" t="str">
        <f>IF(D10="","",IF(D10&gt;1,1,0))</f>
        <v/>
      </c>
      <c r="B10" s="185"/>
      <c r="C10" s="193"/>
      <c r="D10" s="60"/>
      <c r="E10" s="225"/>
      <c r="F10" s="226"/>
      <c r="G10" s="60"/>
      <c r="H10" s="184"/>
      <c r="I10" s="185"/>
      <c r="J10" s="29" t="str">
        <f>IF(G10="","",IF(G10&gt;1,1,0))</f>
        <v/>
      </c>
      <c r="K10" s="23" t="str">
        <f>IF(N10="","",IF(N10&gt;1,1,0))</f>
        <v/>
      </c>
      <c r="L10" s="185"/>
      <c r="M10" s="193"/>
      <c r="N10" s="60"/>
      <c r="O10" s="180"/>
      <c r="P10" s="181"/>
      <c r="Q10" s="60"/>
      <c r="R10" s="184"/>
      <c r="S10" s="185"/>
      <c r="T10" s="29" t="str">
        <f>IF(Q10="","",IF(Q10&gt;1,1,0))</f>
        <v/>
      </c>
      <c r="V10" s="23"/>
    </row>
    <row r="11" spans="1:22" ht="21.95" customHeight="1" outlineLevel="1">
      <c r="A11" s="23" t="str">
        <f>IF(D11="","",IF(D11&gt;1,1,0))</f>
        <v/>
      </c>
      <c r="B11" s="185"/>
      <c r="C11" s="193"/>
      <c r="D11" s="60"/>
      <c r="E11" s="225"/>
      <c r="F11" s="226"/>
      <c r="G11" s="60"/>
      <c r="H11" s="184"/>
      <c r="I11" s="185"/>
      <c r="J11" s="29" t="str">
        <f>IF(G11="","",IF(G11&gt;1,1,0))</f>
        <v/>
      </c>
      <c r="K11" s="23" t="str">
        <f>IF(N11="","",IF(N11&gt;1,1,0))</f>
        <v/>
      </c>
      <c r="L11" s="185"/>
      <c r="M11" s="193"/>
      <c r="N11" s="60"/>
      <c r="O11" s="180"/>
      <c r="P11" s="181"/>
      <c r="Q11" s="60"/>
      <c r="R11" s="184"/>
      <c r="S11" s="185"/>
      <c r="T11" s="29" t="str">
        <f>IF(Q11="","",IF(Q11&gt;1,1,0))</f>
        <v/>
      </c>
      <c r="V11" s="23"/>
    </row>
    <row r="12" spans="1:22" ht="21.95" customHeight="1" outlineLevel="1" thickBot="1">
      <c r="A12" s="23" t="str">
        <f>IF(D12="","",IF(D12&gt;1,1,0))</f>
        <v/>
      </c>
      <c r="B12" s="185"/>
      <c r="C12" s="193"/>
      <c r="D12" s="61"/>
      <c r="E12" s="225"/>
      <c r="F12" s="226"/>
      <c r="G12" s="61"/>
      <c r="H12" s="184"/>
      <c r="I12" s="185"/>
      <c r="J12" s="29" t="str">
        <f>IF(G12="","",IF(G12&gt;1,1,0))</f>
        <v/>
      </c>
      <c r="K12" s="23" t="str">
        <f>IF(N12="","",IF(N12&gt;1,1,0))</f>
        <v/>
      </c>
      <c r="L12" s="185"/>
      <c r="M12" s="193"/>
      <c r="N12" s="61"/>
      <c r="O12" s="180"/>
      <c r="P12" s="181"/>
      <c r="Q12" s="61"/>
      <c r="R12" s="184"/>
      <c r="S12" s="185"/>
      <c r="T12" s="29" t="str">
        <f>IF(Q12="","",IF(Q12&gt;1,1,0))</f>
        <v/>
      </c>
      <c r="V12" s="23"/>
    </row>
    <row r="13" spans="1:22" ht="15.95" customHeight="1" outlineLevel="1" thickBot="1"/>
    <row r="14" spans="1:22" s="28" customFormat="1" ht="27.95" customHeight="1" outlineLevel="1" thickBot="1">
      <c r="B14" s="197" t="str">
        <f>'Clb Q'!M4</f>
        <v/>
      </c>
      <c r="C14" s="198"/>
      <c r="D14" s="199"/>
      <c r="E14" s="206" t="s">
        <v>11</v>
      </c>
      <c r="F14" s="207"/>
      <c r="G14" s="197" t="str">
        <f>'Clb Q'!H4</f>
        <v/>
      </c>
      <c r="H14" s="198"/>
      <c r="I14" s="199"/>
      <c r="L14" s="197" t="str">
        <f>'Clb Q'!R22</f>
        <v/>
      </c>
      <c r="M14" s="198"/>
      <c r="N14" s="199"/>
      <c r="O14" s="206" t="s">
        <v>11</v>
      </c>
      <c r="P14" s="207"/>
      <c r="Q14" s="197" t="str">
        <f>'Clb Q'!C22</f>
        <v/>
      </c>
      <c r="R14" s="198"/>
      <c r="S14" s="199"/>
    </row>
    <row r="15" spans="1:22" s="27" customFormat="1" ht="21.95" customHeight="1" outlineLevel="2">
      <c r="B15" s="194" t="str">
        <f>'Clb Q'!L6</f>
        <v/>
      </c>
      <c r="C15" s="195"/>
      <c r="D15" s="196"/>
      <c r="E15" s="97">
        <v>3</v>
      </c>
      <c r="F15" s="98">
        <v>4</v>
      </c>
      <c r="G15" s="194" t="str">
        <f>'Clb Q'!G6</f>
        <v/>
      </c>
      <c r="H15" s="195"/>
      <c r="I15" s="196"/>
      <c r="L15" s="194" t="str">
        <f>'Clb Q'!Q24</f>
        <v/>
      </c>
      <c r="M15" s="195"/>
      <c r="N15" s="196"/>
      <c r="O15" s="97">
        <v>13</v>
      </c>
      <c r="P15" s="98">
        <v>14</v>
      </c>
      <c r="Q15" s="194" t="str">
        <f>'Clb Q'!B24</f>
        <v/>
      </c>
      <c r="R15" s="195"/>
      <c r="S15" s="196"/>
    </row>
    <row r="16" spans="1:22" s="27" customFormat="1" ht="21.95" customHeight="1" outlineLevel="2">
      <c r="B16" s="194" t="str">
        <f>'Clb Q'!L7</f>
        <v/>
      </c>
      <c r="C16" s="195"/>
      <c r="D16" s="196"/>
      <c r="E16" s="97">
        <v>5</v>
      </c>
      <c r="F16" s="98">
        <v>6</v>
      </c>
      <c r="G16" s="194" t="str">
        <f>'Clb Q'!G7</f>
        <v/>
      </c>
      <c r="H16" s="195"/>
      <c r="I16" s="196"/>
      <c r="L16" s="194" t="str">
        <f>'Clb Q'!Q25</f>
        <v/>
      </c>
      <c r="M16" s="195"/>
      <c r="N16" s="196"/>
      <c r="O16" s="97">
        <v>15</v>
      </c>
      <c r="P16" s="98">
        <v>16</v>
      </c>
      <c r="Q16" s="194" t="str">
        <f>'Clb Q'!B25</f>
        <v/>
      </c>
      <c r="R16" s="195"/>
      <c r="S16" s="196"/>
    </row>
    <row r="17" spans="1:20" s="27" customFormat="1" ht="21.95" customHeight="1" outlineLevel="2" thickBot="1">
      <c r="B17" s="194" t="str">
        <f>'Clb Q'!L8</f>
        <v/>
      </c>
      <c r="C17" s="195"/>
      <c r="D17" s="196"/>
      <c r="E17" s="97">
        <v>7</v>
      </c>
      <c r="F17" s="98">
        <v>8</v>
      </c>
      <c r="G17" s="194" t="str">
        <f>'Clb Q'!G8</f>
        <v/>
      </c>
      <c r="H17" s="195"/>
      <c r="I17" s="196"/>
      <c r="L17" s="194" t="str">
        <f>'Clb Q'!Q26</f>
        <v/>
      </c>
      <c r="M17" s="195"/>
      <c r="N17" s="196"/>
      <c r="O17" s="97">
        <v>17</v>
      </c>
      <c r="P17" s="98">
        <v>18</v>
      </c>
      <c r="Q17" s="194" t="str">
        <f>'Clb Q'!B26</f>
        <v/>
      </c>
      <c r="R17" s="195"/>
      <c r="S17" s="196"/>
    </row>
    <row r="18" spans="1:20" ht="21.95" customHeight="1" outlineLevel="1">
      <c r="A18" s="23" t="str">
        <f>IF(D18="","",IF(D18&gt;1,1,0))</f>
        <v/>
      </c>
      <c r="B18" s="183" t="str">
        <f>IF(D18="","",SUM(A18:A22))</f>
        <v/>
      </c>
      <c r="C18" s="192"/>
      <c r="D18" s="59"/>
      <c r="E18" s="214"/>
      <c r="F18" s="215"/>
      <c r="G18" s="59"/>
      <c r="H18" s="182" t="str">
        <f>IF(G18="","",SUM(J18:J22))</f>
        <v/>
      </c>
      <c r="I18" s="183"/>
      <c r="J18" s="29" t="str">
        <f>IF(G18="","",IF(G18&gt;1,1,0))</f>
        <v/>
      </c>
      <c r="K18" s="23" t="str">
        <f>IF(N18="","",IF(N18&gt;1,1,0))</f>
        <v/>
      </c>
      <c r="L18" s="183" t="str">
        <f>IF(N18="","",SUM(K18:K22))</f>
        <v/>
      </c>
      <c r="M18" s="192"/>
      <c r="N18" s="59"/>
      <c r="O18" s="214"/>
      <c r="P18" s="215"/>
      <c r="Q18" s="59"/>
      <c r="R18" s="182" t="str">
        <f>IF(Q18="","",SUM(T18:T22))</f>
        <v/>
      </c>
      <c r="S18" s="183"/>
      <c r="T18" s="29" t="str">
        <f>IF(Q18="","",IF(Q18&gt;1,1,0))</f>
        <v/>
      </c>
    </row>
    <row r="19" spans="1:20" ht="21.95" customHeight="1" outlineLevel="1">
      <c r="A19" s="23" t="str">
        <f>IF(D19="","",IF(D19&gt;1,1,0))</f>
        <v/>
      </c>
      <c r="B19" s="185"/>
      <c r="C19" s="193"/>
      <c r="D19" s="60"/>
      <c r="E19" s="180"/>
      <c r="F19" s="181"/>
      <c r="G19" s="60"/>
      <c r="H19" s="184"/>
      <c r="I19" s="185"/>
      <c r="J19" s="29" t="str">
        <f>IF(G19="","",IF(G19&gt;1,1,0))</f>
        <v/>
      </c>
      <c r="K19" s="23" t="str">
        <f>IF(N19="","",IF(N19&gt;1,1,0))</f>
        <v/>
      </c>
      <c r="L19" s="185"/>
      <c r="M19" s="193"/>
      <c r="N19" s="60"/>
      <c r="O19" s="180"/>
      <c r="P19" s="181"/>
      <c r="Q19" s="60"/>
      <c r="R19" s="184"/>
      <c r="S19" s="185"/>
      <c r="T19" s="29" t="str">
        <f>IF(Q19="","",IF(Q19&gt;1,1,0))</f>
        <v/>
      </c>
    </row>
    <row r="20" spans="1:20" ht="21.95" customHeight="1" outlineLevel="1">
      <c r="A20" s="23" t="str">
        <f>IF(D20="","",IF(D20&gt;1,1,0))</f>
        <v/>
      </c>
      <c r="B20" s="185"/>
      <c r="C20" s="193"/>
      <c r="D20" s="60"/>
      <c r="E20" s="180"/>
      <c r="F20" s="181"/>
      <c r="G20" s="60"/>
      <c r="H20" s="184"/>
      <c r="I20" s="185"/>
      <c r="J20" s="29" t="str">
        <f>IF(G20="","",IF(G20&gt;1,1,0))</f>
        <v/>
      </c>
      <c r="K20" s="23" t="str">
        <f>IF(N20="","",IF(N20&gt;1,1,0))</f>
        <v/>
      </c>
      <c r="L20" s="185"/>
      <c r="M20" s="193"/>
      <c r="N20" s="60"/>
      <c r="O20" s="180"/>
      <c r="P20" s="181"/>
      <c r="Q20" s="60"/>
      <c r="R20" s="184"/>
      <c r="S20" s="185"/>
      <c r="T20" s="29" t="str">
        <f>IF(Q20="","",IF(Q20&gt;1,1,0))</f>
        <v/>
      </c>
    </row>
    <row r="21" spans="1:20" ht="21.95" customHeight="1" outlineLevel="1">
      <c r="A21" s="23" t="str">
        <f>IF(D21="","",IF(D21&gt;1,1,0))</f>
        <v/>
      </c>
      <c r="B21" s="185"/>
      <c r="C21" s="193"/>
      <c r="D21" s="60"/>
      <c r="E21" s="180"/>
      <c r="F21" s="181"/>
      <c r="G21" s="60"/>
      <c r="H21" s="184"/>
      <c r="I21" s="185"/>
      <c r="J21" s="29" t="str">
        <f>IF(G21="","",IF(G21&gt;1,1,0))</f>
        <v/>
      </c>
      <c r="K21" s="23" t="str">
        <f>IF(N21="","",IF(N21&gt;1,1,0))</f>
        <v/>
      </c>
      <c r="L21" s="185"/>
      <c r="M21" s="193"/>
      <c r="N21" s="60"/>
      <c r="O21" s="180"/>
      <c r="P21" s="181"/>
      <c r="Q21" s="60"/>
      <c r="R21" s="184"/>
      <c r="S21" s="185"/>
      <c r="T21" s="29" t="str">
        <f>IF(Q21="","",IF(Q21&gt;1,1,0))</f>
        <v/>
      </c>
    </row>
    <row r="22" spans="1:20" ht="21.95" customHeight="1" outlineLevel="1" thickBot="1">
      <c r="A22" s="23" t="str">
        <f>IF(D22="","",IF(D22&gt;1,1,0))</f>
        <v/>
      </c>
      <c r="B22" s="185"/>
      <c r="C22" s="193"/>
      <c r="D22" s="61"/>
      <c r="E22" s="180"/>
      <c r="F22" s="181"/>
      <c r="G22" s="61"/>
      <c r="H22" s="184"/>
      <c r="I22" s="185"/>
      <c r="J22" s="29" t="str">
        <f>IF(G22="","",IF(G22&gt;1,1,0))</f>
        <v/>
      </c>
      <c r="K22" s="23" t="str">
        <f>IF(N22="","",IF(N22&gt;1,1,0))</f>
        <v/>
      </c>
      <c r="L22" s="185"/>
      <c r="M22" s="193"/>
      <c r="N22" s="61"/>
      <c r="O22" s="180"/>
      <c r="P22" s="181"/>
      <c r="Q22" s="61"/>
      <c r="R22" s="184"/>
      <c r="S22" s="185"/>
      <c r="T22" s="29" t="str">
        <f>IF(Q22="","",IF(Q22&gt;1,1,0))</f>
        <v/>
      </c>
    </row>
    <row r="23" spans="1:20" ht="300" hidden="1" customHeight="1" outlineLevel="2"/>
    <row r="24" spans="1:20" ht="60" customHeight="1" outlineLevel="1" collapsed="1" thickBot="1">
      <c r="A24" s="179" t="s">
        <v>45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1:20" s="28" customFormat="1" ht="27.95" customHeight="1" outlineLevel="1" thickBot="1">
      <c r="B25" s="197" t="str">
        <f>'Clb Q'!C16</f>
        <v/>
      </c>
      <c r="C25" s="198"/>
      <c r="D25" s="199"/>
      <c r="E25" s="206" t="s">
        <v>11</v>
      </c>
      <c r="F25" s="207"/>
      <c r="G25" s="197" t="str">
        <f>'Clb Q'!R16</f>
        <v/>
      </c>
      <c r="H25" s="198"/>
      <c r="I25" s="199"/>
      <c r="L25" s="197" t="str">
        <f>'Clb Q'!H10</f>
        <v/>
      </c>
      <c r="M25" s="198"/>
      <c r="N25" s="199"/>
      <c r="O25" s="206" t="s">
        <v>11</v>
      </c>
      <c r="P25" s="207"/>
      <c r="Q25" s="197" t="str">
        <f>'Clb Q'!M10</f>
        <v/>
      </c>
      <c r="R25" s="198"/>
      <c r="S25" s="199"/>
    </row>
    <row r="26" spans="1:20" s="27" customFormat="1" ht="21.95" customHeight="1" outlineLevel="2">
      <c r="B26" s="194" t="str">
        <f>'Clb Q'!B18</f>
        <v/>
      </c>
      <c r="C26" s="195"/>
      <c r="D26" s="196"/>
      <c r="E26" s="97">
        <v>3</v>
      </c>
      <c r="F26" s="98">
        <v>4</v>
      </c>
      <c r="G26" s="219" t="str">
        <f>'Clb Q'!Q18</f>
        <v/>
      </c>
      <c r="H26" s="220"/>
      <c r="I26" s="221"/>
      <c r="L26" s="194" t="str">
        <f>'Clb Q'!G12</f>
        <v/>
      </c>
      <c r="M26" s="195"/>
      <c r="N26" s="196"/>
      <c r="O26" s="97">
        <v>13</v>
      </c>
      <c r="P26" s="98">
        <v>14</v>
      </c>
      <c r="Q26" s="194" t="str">
        <f>'Clb Q'!L12</f>
        <v/>
      </c>
      <c r="R26" s="195"/>
      <c r="S26" s="196"/>
    </row>
    <row r="27" spans="1:20" s="27" customFormat="1" ht="21.95" customHeight="1" outlineLevel="2">
      <c r="B27" s="194" t="str">
        <f>'Clb Q'!B19</f>
        <v/>
      </c>
      <c r="C27" s="195"/>
      <c r="D27" s="196"/>
      <c r="E27" s="97">
        <v>5</v>
      </c>
      <c r="F27" s="98">
        <v>6</v>
      </c>
      <c r="G27" s="194" t="str">
        <f>'Clb Q'!Q19</f>
        <v/>
      </c>
      <c r="H27" s="195"/>
      <c r="I27" s="196"/>
      <c r="L27" s="194" t="str">
        <f>'Clb Q'!G13</f>
        <v/>
      </c>
      <c r="M27" s="195"/>
      <c r="N27" s="196"/>
      <c r="O27" s="97">
        <v>15</v>
      </c>
      <c r="P27" s="98">
        <v>16</v>
      </c>
      <c r="Q27" s="194" t="str">
        <f>'Clb Q'!L13</f>
        <v/>
      </c>
      <c r="R27" s="195"/>
      <c r="S27" s="196"/>
    </row>
    <row r="28" spans="1:20" s="27" customFormat="1" ht="21.95" customHeight="1" outlineLevel="2" thickBot="1">
      <c r="B28" s="194" t="str">
        <f>'Clb Q'!B20</f>
        <v/>
      </c>
      <c r="C28" s="195"/>
      <c r="D28" s="196"/>
      <c r="E28" s="97">
        <v>7</v>
      </c>
      <c r="F28" s="98">
        <v>8</v>
      </c>
      <c r="G28" s="229" t="str">
        <f>'Clb Q'!Q20</f>
        <v/>
      </c>
      <c r="H28" s="230"/>
      <c r="I28" s="231"/>
      <c r="L28" s="194" t="str">
        <f>'Clb Q'!G14</f>
        <v/>
      </c>
      <c r="M28" s="195"/>
      <c r="N28" s="196"/>
      <c r="O28" s="97">
        <v>17</v>
      </c>
      <c r="P28" s="98">
        <v>18</v>
      </c>
      <c r="Q28" s="194" t="str">
        <f>'Clb Q'!L14</f>
        <v/>
      </c>
      <c r="R28" s="195"/>
      <c r="S28" s="196"/>
    </row>
    <row r="29" spans="1:20" ht="21.95" customHeight="1" outlineLevel="1">
      <c r="A29" s="23" t="str">
        <f>IF(D29="","",IF(D29&gt;1,1,0))</f>
        <v/>
      </c>
      <c r="B29" s="183" t="str">
        <f>IF(D29="","",SUM(A29:A33))</f>
        <v/>
      </c>
      <c r="C29" s="192"/>
      <c r="D29" s="59"/>
      <c r="E29" s="214"/>
      <c r="F29" s="215"/>
      <c r="G29" s="59"/>
      <c r="H29" s="182" t="str">
        <f>IF(G29="","",SUM(J29:J33))</f>
        <v/>
      </c>
      <c r="I29" s="183"/>
      <c r="J29" s="29" t="str">
        <f>IF(G29="","",IF(G29&gt;1,1,0))</f>
        <v/>
      </c>
      <c r="K29" s="23" t="str">
        <f>IF(N29="","",IF(N29&gt;1,1,0))</f>
        <v/>
      </c>
      <c r="L29" s="183" t="str">
        <f>IF(N29="","",SUM(K29:K33))</f>
        <v/>
      </c>
      <c r="M29" s="192"/>
      <c r="N29" s="59"/>
      <c r="O29" s="214"/>
      <c r="P29" s="215"/>
      <c r="Q29" s="59"/>
      <c r="R29" s="182" t="str">
        <f>IF(Q29="","",SUM(T29:T33))</f>
        <v/>
      </c>
      <c r="S29" s="183"/>
      <c r="T29" s="29" t="str">
        <f>IF(Q29="","",IF(Q29&gt;1,1,0))</f>
        <v/>
      </c>
    </row>
    <row r="30" spans="1:20" ht="21.95" customHeight="1" outlineLevel="1">
      <c r="A30" s="23" t="str">
        <f>IF(D30="","",IF(D30&gt;1,1,0))</f>
        <v/>
      </c>
      <c r="B30" s="185"/>
      <c r="C30" s="193"/>
      <c r="D30" s="60"/>
      <c r="E30" s="180"/>
      <c r="F30" s="181"/>
      <c r="G30" s="60"/>
      <c r="H30" s="184"/>
      <c r="I30" s="185"/>
      <c r="J30" s="29" t="str">
        <f>IF(G30="","",IF(G30&gt;1,1,0))</f>
        <v/>
      </c>
      <c r="K30" s="23" t="str">
        <f>IF(N30="","",IF(N30&gt;1,1,0))</f>
        <v/>
      </c>
      <c r="L30" s="185"/>
      <c r="M30" s="193"/>
      <c r="N30" s="60"/>
      <c r="O30" s="180"/>
      <c r="P30" s="181"/>
      <c r="Q30" s="60"/>
      <c r="R30" s="184"/>
      <c r="S30" s="185"/>
      <c r="T30" s="29" t="str">
        <f>IF(Q30="","",IF(Q30&gt;1,1,0))</f>
        <v/>
      </c>
    </row>
    <row r="31" spans="1:20" ht="21.95" customHeight="1" outlineLevel="1">
      <c r="A31" s="23" t="str">
        <f>IF(D31="","",IF(D31&gt;1,1,0))</f>
        <v/>
      </c>
      <c r="B31" s="185"/>
      <c r="C31" s="193"/>
      <c r="D31" s="60"/>
      <c r="E31" s="180"/>
      <c r="F31" s="181"/>
      <c r="G31" s="60"/>
      <c r="H31" s="184"/>
      <c r="I31" s="185"/>
      <c r="J31" s="29" t="str">
        <f>IF(G31="","",IF(G31&gt;1,1,0))</f>
        <v/>
      </c>
      <c r="K31" s="23" t="str">
        <f>IF(N31="","",IF(N31&gt;1,1,0))</f>
        <v/>
      </c>
      <c r="L31" s="185"/>
      <c r="M31" s="193"/>
      <c r="N31" s="60"/>
      <c r="O31" s="180"/>
      <c r="P31" s="181"/>
      <c r="Q31" s="60"/>
      <c r="R31" s="184"/>
      <c r="S31" s="185"/>
      <c r="T31" s="29" t="str">
        <f>IF(Q31="","",IF(Q31&gt;1,1,0))</f>
        <v/>
      </c>
    </row>
    <row r="32" spans="1:20" ht="21.95" customHeight="1" outlineLevel="1">
      <c r="A32" s="23" t="str">
        <f>IF(D32="","",IF(D32&gt;1,1,0))</f>
        <v/>
      </c>
      <c r="B32" s="185"/>
      <c r="C32" s="193"/>
      <c r="D32" s="60"/>
      <c r="E32" s="180"/>
      <c r="F32" s="181"/>
      <c r="G32" s="60"/>
      <c r="H32" s="184"/>
      <c r="I32" s="185"/>
      <c r="J32" s="29" t="str">
        <f>IF(G32="","",IF(G32&gt;1,1,0))</f>
        <v/>
      </c>
      <c r="K32" s="23" t="str">
        <f>IF(N32="","",IF(N32&gt;1,1,0))</f>
        <v/>
      </c>
      <c r="L32" s="185"/>
      <c r="M32" s="193"/>
      <c r="N32" s="60"/>
      <c r="O32" s="180"/>
      <c r="P32" s="181"/>
      <c r="Q32" s="60"/>
      <c r="R32" s="184"/>
      <c r="S32" s="185"/>
      <c r="T32" s="29" t="str">
        <f>IF(Q32="","",IF(Q32&gt;1,1,0))</f>
        <v/>
      </c>
    </row>
    <row r="33" spans="1:20" ht="21.95" customHeight="1" outlineLevel="1" thickBot="1">
      <c r="A33" s="23" t="str">
        <f>IF(D33="","",IF(D33&gt;1,1,0))</f>
        <v/>
      </c>
      <c r="B33" s="185"/>
      <c r="C33" s="193"/>
      <c r="D33" s="61"/>
      <c r="E33" s="180"/>
      <c r="F33" s="181"/>
      <c r="G33" s="61"/>
      <c r="H33" s="184"/>
      <c r="I33" s="185"/>
      <c r="J33" s="29" t="str">
        <f>IF(G33="","",IF(G33&gt;1,1,0))</f>
        <v/>
      </c>
      <c r="K33" s="23" t="str">
        <f>IF(N33="","",IF(N33&gt;1,1,0))</f>
        <v/>
      </c>
      <c r="L33" s="185"/>
      <c r="M33" s="193"/>
      <c r="N33" s="61"/>
      <c r="O33" s="180"/>
      <c r="P33" s="181"/>
      <c r="Q33" s="61"/>
      <c r="R33" s="184"/>
      <c r="S33" s="185"/>
      <c r="T33" s="29" t="str">
        <f>IF(Q33="","",IF(Q33&gt;1,1,0))</f>
        <v/>
      </c>
    </row>
    <row r="34" spans="1:20" ht="15" customHeight="1" outlineLevel="1"/>
    <row r="35" spans="1:20" ht="15" customHeight="1" outlineLevel="1" thickBot="1"/>
    <row r="36" spans="1:20" s="28" customFormat="1" ht="27.95" customHeight="1" outlineLevel="1" thickBot="1">
      <c r="B36" s="197" t="str">
        <f>'Clb Q'!M16</f>
        <v/>
      </c>
      <c r="C36" s="198"/>
      <c r="D36" s="199"/>
      <c r="E36" s="206" t="s">
        <v>11</v>
      </c>
      <c r="F36" s="207"/>
      <c r="G36" s="197" t="str">
        <f>'Clb Q'!H16</f>
        <v/>
      </c>
      <c r="H36" s="198"/>
      <c r="I36" s="199"/>
      <c r="L36" s="197" t="str">
        <f>'Clb Q'!R10</f>
        <v/>
      </c>
      <c r="M36" s="198"/>
      <c r="N36" s="199"/>
      <c r="O36" s="206" t="s">
        <v>11</v>
      </c>
      <c r="P36" s="207"/>
      <c r="Q36" s="197" t="str">
        <f>'Clb Q'!C10</f>
        <v>AST MONTAUBAN</v>
      </c>
      <c r="R36" s="198"/>
      <c r="S36" s="199"/>
    </row>
    <row r="37" spans="1:20" s="27" customFormat="1" ht="21.95" customHeight="1" outlineLevel="2">
      <c r="B37" s="194" t="str">
        <f>'Clb Q'!L18</f>
        <v/>
      </c>
      <c r="C37" s="195"/>
      <c r="D37" s="196"/>
      <c r="E37" s="97">
        <v>3</v>
      </c>
      <c r="F37" s="98">
        <v>4</v>
      </c>
      <c r="G37" s="194" t="str">
        <f>'Clb Q'!G18</f>
        <v/>
      </c>
      <c r="H37" s="195"/>
      <c r="I37" s="196"/>
      <c r="L37" s="219" t="str">
        <f>'Clb Q'!Q12</f>
        <v/>
      </c>
      <c r="M37" s="220"/>
      <c r="N37" s="221"/>
      <c r="O37" s="97">
        <v>13</v>
      </c>
      <c r="P37" s="98">
        <v>14</v>
      </c>
      <c r="Q37" s="194" t="str">
        <f>'Clb Q'!B12</f>
        <v>MORENO Chloé</v>
      </c>
      <c r="R37" s="195"/>
      <c r="S37" s="196"/>
    </row>
    <row r="38" spans="1:20" s="27" customFormat="1" ht="21.95" customHeight="1" outlineLevel="2">
      <c r="B38" s="194" t="str">
        <f>'Clb Q'!L19</f>
        <v/>
      </c>
      <c r="C38" s="195"/>
      <c r="D38" s="196"/>
      <c r="E38" s="97">
        <v>5</v>
      </c>
      <c r="F38" s="98">
        <v>6</v>
      </c>
      <c r="G38" s="194" t="str">
        <f>'Clb Q'!G19</f>
        <v/>
      </c>
      <c r="H38" s="195"/>
      <c r="I38" s="196"/>
      <c r="L38" s="194" t="str">
        <f>'Clb Q'!Q13</f>
        <v/>
      </c>
      <c r="M38" s="195"/>
      <c r="N38" s="196"/>
      <c r="O38" s="97">
        <v>15</v>
      </c>
      <c r="P38" s="98">
        <v>16</v>
      </c>
      <c r="Q38" s="194" t="str">
        <f>'Clb Q'!B13</f>
        <v>BERGUE Jules</v>
      </c>
      <c r="R38" s="195"/>
      <c r="S38" s="196"/>
    </row>
    <row r="39" spans="1:20" s="27" customFormat="1" ht="21.95" customHeight="1" outlineLevel="2" thickBot="1">
      <c r="B39" s="194" t="str">
        <f>'Clb Q'!L20</f>
        <v/>
      </c>
      <c r="C39" s="195"/>
      <c r="D39" s="196"/>
      <c r="E39" s="97">
        <v>7</v>
      </c>
      <c r="F39" s="98">
        <v>8</v>
      </c>
      <c r="G39" s="194" t="str">
        <f>'Clb Q'!G20</f>
        <v/>
      </c>
      <c r="H39" s="195"/>
      <c r="I39" s="196"/>
      <c r="L39" s="229" t="str">
        <f>'Clb Q'!Q14</f>
        <v/>
      </c>
      <c r="M39" s="230"/>
      <c r="N39" s="231"/>
      <c r="O39" s="97">
        <v>17</v>
      </c>
      <c r="P39" s="98">
        <v>18</v>
      </c>
      <c r="Q39" s="194" t="str">
        <f>'Clb Q'!B14</f>
        <v>RAMALHO Nathéo</v>
      </c>
      <c r="R39" s="195"/>
      <c r="S39" s="196"/>
    </row>
    <row r="40" spans="1:20" ht="21.95" customHeight="1" outlineLevel="1">
      <c r="A40" s="23" t="str">
        <f>IF(D40="","",IF(D40&gt;1,1,0))</f>
        <v/>
      </c>
      <c r="B40" s="183" t="str">
        <f>IF(D40="","",SUM(A40:A44))</f>
        <v/>
      </c>
      <c r="C40" s="192"/>
      <c r="D40" s="59"/>
      <c r="E40" s="214"/>
      <c r="F40" s="215"/>
      <c r="G40" s="59"/>
      <c r="H40" s="182" t="str">
        <f>IF(G40="","",SUM(J40:J44))</f>
        <v/>
      </c>
      <c r="I40" s="183"/>
      <c r="J40" s="29" t="str">
        <f>IF(G40="","",IF(G40&gt;1,1,0))</f>
        <v/>
      </c>
      <c r="K40" s="23" t="str">
        <f>IF(N40="","",IF(N40&gt;1,1,0))</f>
        <v/>
      </c>
      <c r="L40" s="183" t="str">
        <f>IF(N40="","",SUM(K40:K44))</f>
        <v/>
      </c>
      <c r="M40" s="192"/>
      <c r="N40" s="59"/>
      <c r="O40" s="214"/>
      <c r="P40" s="215"/>
      <c r="Q40" s="59"/>
      <c r="R40" s="182" t="str">
        <f>IF(Q40="","",SUM(T40:T44))</f>
        <v/>
      </c>
      <c r="S40" s="183"/>
      <c r="T40" s="29" t="str">
        <f>IF(Q40="","",IF(Q40&gt;1,1,0))</f>
        <v/>
      </c>
    </row>
    <row r="41" spans="1:20" ht="21.95" customHeight="1" outlineLevel="1">
      <c r="A41" s="23" t="str">
        <f>IF(D41="","",IF(D41&gt;1,1,0))</f>
        <v/>
      </c>
      <c r="B41" s="185"/>
      <c r="C41" s="193"/>
      <c r="D41" s="60"/>
      <c r="E41" s="180"/>
      <c r="F41" s="181"/>
      <c r="G41" s="60"/>
      <c r="H41" s="184"/>
      <c r="I41" s="185"/>
      <c r="J41" s="29" t="str">
        <f>IF(G41="","",IF(G41&gt;1,1,0))</f>
        <v/>
      </c>
      <c r="K41" s="23" t="str">
        <f>IF(N41="","",IF(N41&gt;1,1,0))</f>
        <v/>
      </c>
      <c r="L41" s="185"/>
      <c r="M41" s="193"/>
      <c r="N41" s="60"/>
      <c r="O41" s="180"/>
      <c r="P41" s="181"/>
      <c r="Q41" s="60"/>
      <c r="R41" s="184"/>
      <c r="S41" s="185"/>
      <c r="T41" s="29" t="str">
        <f>IF(Q41="","",IF(Q41&gt;1,1,0))</f>
        <v/>
      </c>
    </row>
    <row r="42" spans="1:20" ht="21.95" customHeight="1" outlineLevel="1">
      <c r="A42" s="23" t="str">
        <f>IF(D42="","",IF(D42&gt;1,1,0))</f>
        <v/>
      </c>
      <c r="B42" s="185"/>
      <c r="C42" s="193"/>
      <c r="D42" s="60"/>
      <c r="E42" s="180"/>
      <c r="F42" s="181"/>
      <c r="G42" s="60"/>
      <c r="H42" s="184"/>
      <c r="I42" s="185"/>
      <c r="J42" s="29" t="str">
        <f>IF(G42="","",IF(G42&gt;1,1,0))</f>
        <v/>
      </c>
      <c r="K42" s="23" t="str">
        <f>IF(N42="","",IF(N42&gt;1,1,0))</f>
        <v/>
      </c>
      <c r="L42" s="185"/>
      <c r="M42" s="193"/>
      <c r="N42" s="60"/>
      <c r="O42" s="180"/>
      <c r="P42" s="181"/>
      <c r="Q42" s="60"/>
      <c r="R42" s="184"/>
      <c r="S42" s="185"/>
      <c r="T42" s="29" t="str">
        <f>IF(Q42="","",IF(Q42&gt;1,1,0))</f>
        <v/>
      </c>
    </row>
    <row r="43" spans="1:20" ht="21.95" customHeight="1" outlineLevel="1">
      <c r="A43" s="23" t="str">
        <f>IF(D43="","",IF(D43&gt;1,1,0))</f>
        <v/>
      </c>
      <c r="B43" s="185"/>
      <c r="C43" s="193"/>
      <c r="D43" s="60"/>
      <c r="E43" s="180"/>
      <c r="F43" s="181"/>
      <c r="G43" s="60"/>
      <c r="H43" s="184"/>
      <c r="I43" s="185"/>
      <c r="J43" s="29" t="str">
        <f>IF(G43="","",IF(G43&gt;1,1,0))</f>
        <v/>
      </c>
      <c r="K43" s="23" t="str">
        <f>IF(N43="","",IF(N43&gt;1,1,0))</f>
        <v/>
      </c>
      <c r="L43" s="185"/>
      <c r="M43" s="193"/>
      <c r="N43" s="60"/>
      <c r="O43" s="180"/>
      <c r="P43" s="181"/>
      <c r="Q43" s="60"/>
      <c r="R43" s="184"/>
      <c r="S43" s="185"/>
      <c r="T43" s="29" t="str">
        <f>IF(Q43="","",IF(Q43&gt;1,1,0))</f>
        <v/>
      </c>
    </row>
    <row r="44" spans="1:20" ht="21.95" customHeight="1" outlineLevel="1" thickBot="1">
      <c r="A44" s="23" t="str">
        <f>IF(D44="","",IF(D44&gt;1,1,0))</f>
        <v/>
      </c>
      <c r="B44" s="185"/>
      <c r="C44" s="193"/>
      <c r="D44" s="61"/>
      <c r="E44" s="180"/>
      <c r="F44" s="181"/>
      <c r="G44" s="61"/>
      <c r="H44" s="184"/>
      <c r="I44" s="185"/>
      <c r="J44" s="29" t="str">
        <f>IF(G44="","",IF(G44&gt;1,1,0))</f>
        <v/>
      </c>
      <c r="K44" s="23" t="str">
        <f>IF(N44="","",IF(N44&gt;1,1,0))</f>
        <v/>
      </c>
      <c r="L44" s="185"/>
      <c r="M44" s="193"/>
      <c r="N44" s="61"/>
      <c r="O44" s="180"/>
      <c r="P44" s="181"/>
      <c r="Q44" s="61"/>
      <c r="R44" s="184"/>
      <c r="S44" s="185"/>
      <c r="T44" s="29" t="str">
        <f>IF(Q44="","",IF(Q44&gt;1,1,0))</f>
        <v/>
      </c>
    </row>
    <row r="45" spans="1:20" ht="60" customHeight="1" thickBot="1">
      <c r="A45" s="179" t="s">
        <v>12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</row>
    <row r="46" spans="1:20" s="28" customFormat="1" ht="27.95" customHeight="1" thickBot="1">
      <c r="B46" s="222" t="str">
        <f>IF(G4="",B4,IF(B8="","",IF(B8&gt;2,B4,IF(H8&gt;2,G4,""))))</f>
        <v>38 TSM</v>
      </c>
      <c r="C46" s="223"/>
      <c r="D46" s="224"/>
      <c r="E46" s="206" t="s">
        <v>11</v>
      </c>
      <c r="F46" s="207"/>
      <c r="G46" s="222" t="str">
        <f>IF(B14="",G14,IF(B18="","",IF(B18&gt;2,B14,IF(H18&gt;2,G14,""))))</f>
        <v/>
      </c>
      <c r="H46" s="223"/>
      <c r="I46" s="224"/>
      <c r="L46" s="222" t="str">
        <f>IF(G25="",B25,IF(B29="","",IF(B29&gt;2,B25,IF(H29&gt;2,G25,""))))</f>
        <v/>
      </c>
      <c r="M46" s="223"/>
      <c r="N46" s="224"/>
      <c r="O46" s="206" t="s">
        <v>11</v>
      </c>
      <c r="P46" s="207"/>
      <c r="Q46" s="222" t="str">
        <f>IF(B36="",G36,IF(B40="","",IF(B40&gt;2,B36,IF(H40&gt;2,G36,""))))</f>
        <v/>
      </c>
      <c r="R46" s="223"/>
      <c r="S46" s="224"/>
    </row>
    <row r="47" spans="1:20" s="27" customFormat="1" ht="21.95" customHeight="1" outlineLevel="1">
      <c r="B47" s="189" t="str">
        <f>IF(G4="",B5,IF(B8="","",IF(B8&gt;2,B5,IF(H8&gt;2,G5,""))))</f>
        <v>TOUSSAIN Jules</v>
      </c>
      <c r="C47" s="190"/>
      <c r="D47" s="191"/>
      <c r="E47" s="95">
        <v>3</v>
      </c>
      <c r="F47" s="96">
        <v>4</v>
      </c>
      <c r="G47" s="189" t="str">
        <f>IF(B14="",G15,IF(B18="","",IF(B18&gt;2,B15,IF(H18&gt;2,G15,""))))</f>
        <v/>
      </c>
      <c r="H47" s="190"/>
      <c r="I47" s="191"/>
      <c r="L47" s="189" t="str">
        <f>IF(G25="",B26,IF(B29="","",IF(B29&gt;2,B26,IF(H29&gt;2,G26,""))))</f>
        <v/>
      </c>
      <c r="M47" s="190"/>
      <c r="N47" s="191"/>
      <c r="O47" s="95">
        <v>3</v>
      </c>
      <c r="P47" s="96">
        <v>4</v>
      </c>
      <c r="Q47" s="189" t="str">
        <f>IF(B36="",G37,IF(B40="","",IF(B40&gt;2,B37,IF(H40&gt;2,G37,""))))</f>
        <v/>
      </c>
      <c r="R47" s="190"/>
      <c r="S47" s="191"/>
    </row>
    <row r="48" spans="1:20" s="27" customFormat="1" ht="21.95" customHeight="1" outlineLevel="1">
      <c r="B48" s="189" t="str">
        <f>IF(G4="",B6,IF(B8="","",IF(B8&gt;2,B6,IF(H8&gt;2,G6,""))))</f>
        <v>SAFFON Nathanael</v>
      </c>
      <c r="C48" s="190"/>
      <c r="D48" s="191"/>
      <c r="E48" s="95">
        <v>5</v>
      </c>
      <c r="F48" s="96">
        <v>6</v>
      </c>
      <c r="G48" s="189" t="str">
        <f>IF(B14="",G16,IF(B18="","",IF(B18&gt;2,B16,IF(H18&gt;2,G16,""))))</f>
        <v/>
      </c>
      <c r="H48" s="190"/>
      <c r="I48" s="191"/>
      <c r="L48" s="189" t="str">
        <f>IF(G25="",B27,IF(B29="","",IF(B29&gt;2,B27,IF(H29&gt;2,G27,""))))</f>
        <v/>
      </c>
      <c r="M48" s="190"/>
      <c r="N48" s="191"/>
      <c r="O48" s="95">
        <v>5</v>
      </c>
      <c r="P48" s="96">
        <v>6</v>
      </c>
      <c r="Q48" s="189" t="str">
        <f>IF(B36="",G38,IF(B40="","",IF(B40&gt;2,B38,IF(H40&gt;2,G38,""))))</f>
        <v/>
      </c>
      <c r="R48" s="190"/>
      <c r="S48" s="191"/>
    </row>
    <row r="49" spans="1:20" s="27" customFormat="1" ht="21.95" customHeight="1" outlineLevel="1" thickBot="1">
      <c r="B49" s="189" t="str">
        <f>IF(G4="",B7,IF(B8="","",IF(B8&gt;2,B7,IF(H8&gt;2,G7,""))))</f>
        <v>ESTOR Valentin</v>
      </c>
      <c r="C49" s="190"/>
      <c r="D49" s="191"/>
      <c r="E49" s="95">
        <v>7</v>
      </c>
      <c r="F49" s="96">
        <v>8</v>
      </c>
      <c r="G49" s="189" t="str">
        <f>IF(B14="",G17,IF(B18="","",IF(B18&gt;2,B17,IF(H18&gt;2,G17,""))))</f>
        <v/>
      </c>
      <c r="H49" s="190"/>
      <c r="I49" s="191"/>
      <c r="L49" s="189" t="str">
        <f>IF(G25="",B28,IF(B29="","",IF(B29&gt;2,B28,IF(H29&gt;2,G28,""))))</f>
        <v/>
      </c>
      <c r="M49" s="190"/>
      <c r="N49" s="191"/>
      <c r="O49" s="95">
        <v>7</v>
      </c>
      <c r="P49" s="96">
        <v>8</v>
      </c>
      <c r="Q49" s="189" t="str">
        <f>IF(B36="",G39,IF(B40="","",IF(B40&gt;2,B39,IF(H40&gt;2,G39,""))))</f>
        <v/>
      </c>
      <c r="R49" s="190"/>
      <c r="S49" s="191"/>
    </row>
    <row r="50" spans="1:20" ht="21.95" customHeight="1">
      <c r="A50" s="23" t="str">
        <f>IF(D50="","",IF(D50&gt;1,1,0))</f>
        <v/>
      </c>
      <c r="B50" s="183" t="str">
        <f>IF(D50="","",SUM(A50:A54))</f>
        <v/>
      </c>
      <c r="C50" s="192"/>
      <c r="D50" s="59"/>
      <c r="E50" s="214"/>
      <c r="F50" s="215"/>
      <c r="G50" s="59"/>
      <c r="H50" s="182" t="str">
        <f>IF(G50="","",SUM(J50:J54))</f>
        <v/>
      </c>
      <c r="I50" s="183"/>
      <c r="J50" s="29" t="str">
        <f>IF(G50="","",IF(G50&gt;1,1,0))</f>
        <v/>
      </c>
      <c r="K50" s="23" t="str">
        <f>IF(N50="","",IF(N50&gt;1,1,0))</f>
        <v/>
      </c>
      <c r="L50" s="183" t="str">
        <f>IF(N50="","",SUM(K50:K54))</f>
        <v/>
      </c>
      <c r="M50" s="192"/>
      <c r="N50" s="59"/>
      <c r="O50" s="232"/>
      <c r="P50" s="233"/>
      <c r="Q50" s="59"/>
      <c r="R50" s="182" t="str">
        <f>IF(Q50="","",SUM(T50:T54))</f>
        <v/>
      </c>
      <c r="S50" s="183"/>
      <c r="T50" s="29" t="str">
        <f>IF(Q50="","",IF(Q50&gt;1,1,0))</f>
        <v/>
      </c>
    </row>
    <row r="51" spans="1:20" ht="21.95" customHeight="1">
      <c r="A51" s="23" t="str">
        <f>IF(D51="","",IF(D51&gt;1,1,0))</f>
        <v/>
      </c>
      <c r="B51" s="185"/>
      <c r="C51" s="193"/>
      <c r="D51" s="60"/>
      <c r="E51" s="180"/>
      <c r="F51" s="181"/>
      <c r="G51" s="60"/>
      <c r="H51" s="184"/>
      <c r="I51" s="185"/>
      <c r="J51" s="29" t="str">
        <f>IF(G51="","",IF(G51&gt;1,1,0))</f>
        <v/>
      </c>
      <c r="K51" s="23" t="str">
        <f>IF(N51="","",IF(N51&gt;1,1,0))</f>
        <v/>
      </c>
      <c r="L51" s="185"/>
      <c r="M51" s="193"/>
      <c r="N51" s="60"/>
      <c r="O51" s="180"/>
      <c r="P51" s="181"/>
      <c r="Q51" s="60"/>
      <c r="R51" s="184"/>
      <c r="S51" s="185"/>
      <c r="T51" s="29" t="str">
        <f>IF(Q51="","",IF(Q51&gt;1,1,0))</f>
        <v/>
      </c>
    </row>
    <row r="52" spans="1:20" ht="21.95" customHeight="1">
      <c r="A52" s="23" t="str">
        <f>IF(D52="","",IF(D52&gt;1,1,0))</f>
        <v/>
      </c>
      <c r="B52" s="185"/>
      <c r="C52" s="193"/>
      <c r="D52" s="60"/>
      <c r="E52" s="180"/>
      <c r="F52" s="181"/>
      <c r="G52" s="60"/>
      <c r="H52" s="184"/>
      <c r="I52" s="185"/>
      <c r="J52" s="29" t="str">
        <f>IF(G52="","",IF(G52&gt;1,1,0))</f>
        <v/>
      </c>
      <c r="K52" s="23" t="str">
        <f>IF(N52="","",IF(N52&gt;1,1,0))</f>
        <v/>
      </c>
      <c r="L52" s="185"/>
      <c r="M52" s="193"/>
      <c r="N52" s="60"/>
      <c r="O52" s="180"/>
      <c r="P52" s="181"/>
      <c r="Q52" s="60"/>
      <c r="R52" s="184"/>
      <c r="S52" s="185"/>
      <c r="T52" s="29" t="str">
        <f>IF(Q52="","",IF(Q52&gt;1,1,0))</f>
        <v/>
      </c>
    </row>
    <row r="53" spans="1:20" ht="21.95" customHeight="1">
      <c r="A53" s="23" t="str">
        <f>IF(D53="","",IF(D53&gt;1,1,0))</f>
        <v/>
      </c>
      <c r="B53" s="185"/>
      <c r="C53" s="193"/>
      <c r="D53" s="60"/>
      <c r="E53" s="180"/>
      <c r="F53" s="181"/>
      <c r="G53" s="60"/>
      <c r="H53" s="184"/>
      <c r="I53" s="185"/>
      <c r="J53" s="29" t="str">
        <f>IF(G53="","",IF(G53&gt;1,1,0))</f>
        <v/>
      </c>
      <c r="K53" s="23" t="str">
        <f>IF(N53="","",IF(N53&gt;1,1,0))</f>
        <v/>
      </c>
      <c r="L53" s="185"/>
      <c r="M53" s="193"/>
      <c r="N53" s="60"/>
      <c r="O53" s="180"/>
      <c r="P53" s="181"/>
      <c r="Q53" s="60"/>
      <c r="R53" s="184"/>
      <c r="S53" s="185"/>
      <c r="T53" s="29" t="str">
        <f>IF(Q53="","",IF(Q53&gt;1,1,0))</f>
        <v/>
      </c>
    </row>
    <row r="54" spans="1:20" ht="21.95" customHeight="1" thickBot="1">
      <c r="A54" s="23" t="str">
        <f>IF(D54="","",IF(D54&gt;1,1,0))</f>
        <v/>
      </c>
      <c r="B54" s="185"/>
      <c r="C54" s="193"/>
      <c r="D54" s="61"/>
      <c r="E54" s="180"/>
      <c r="F54" s="181"/>
      <c r="G54" s="61"/>
      <c r="H54" s="184"/>
      <c r="I54" s="185"/>
      <c r="J54" s="29" t="str">
        <f>IF(G54="","",IF(G54&gt;1,1,0))</f>
        <v/>
      </c>
      <c r="K54" s="23" t="str">
        <f>IF(N54="","",IF(N54&gt;1,1,0))</f>
        <v/>
      </c>
      <c r="L54" s="185"/>
      <c r="M54" s="193"/>
      <c r="N54" s="61"/>
      <c r="O54" s="180"/>
      <c r="P54" s="181"/>
      <c r="Q54" s="61"/>
      <c r="R54" s="184"/>
      <c r="S54" s="185"/>
      <c r="T54" s="29" t="str">
        <f>IF(Q54="","",IF(Q54&gt;1,1,0))</f>
        <v/>
      </c>
    </row>
    <row r="55" spans="1:20" ht="30" customHeight="1" thickBot="1"/>
    <row r="56" spans="1:20" s="28" customFormat="1" ht="27.95" customHeight="1" thickBot="1">
      <c r="B56" s="222" t="str">
        <f>IF(Q4="",L4,IF(L8="","",IF(L8&gt;2,L4,IF(R8&gt;2,Q4,""))))</f>
        <v/>
      </c>
      <c r="C56" s="223"/>
      <c r="D56" s="224"/>
      <c r="E56" s="206" t="s">
        <v>11</v>
      </c>
      <c r="F56" s="207"/>
      <c r="G56" s="222" t="str">
        <f>IF(L14="",Q14,IF(L18="","",IF(L18&gt;2,L14,IF(R18&gt;2,Q14,""))))</f>
        <v/>
      </c>
      <c r="H56" s="223"/>
      <c r="I56" s="224"/>
      <c r="L56" s="222" t="str">
        <f>IF(Q25="",L25,IF(L29="","",IF(L29&gt;2,L25,IF(R29&gt;2,Q25,""))))</f>
        <v/>
      </c>
      <c r="M56" s="223"/>
      <c r="N56" s="224"/>
      <c r="O56" s="206" t="s">
        <v>11</v>
      </c>
      <c r="P56" s="207"/>
      <c r="Q56" s="222" t="str">
        <f>IF(L36="",Q36,IF(L40="","",IF(L40&gt;2,L36,IF(R40&gt;2,Q36,""))))</f>
        <v>AST MONTAUBAN</v>
      </c>
      <c r="R56" s="223"/>
      <c r="S56" s="224"/>
    </row>
    <row r="57" spans="1:20" s="27" customFormat="1" ht="21.95" customHeight="1" outlineLevel="1">
      <c r="B57" s="189" t="str">
        <f>IF(Q4="",L5,IF(L8="","",IF(L8&gt;2,L5,IF(R8&gt;2,Q5,""))))</f>
        <v/>
      </c>
      <c r="C57" s="190"/>
      <c r="D57" s="191"/>
      <c r="E57" s="95">
        <v>13</v>
      </c>
      <c r="F57" s="96">
        <v>14</v>
      </c>
      <c r="G57" s="189" t="str">
        <f>IF(L14="",Q15,IF(L18="","",IF(L18&gt;2,L15,IF(R18&gt;2,Q15,""))))</f>
        <v/>
      </c>
      <c r="H57" s="190"/>
      <c r="I57" s="191"/>
      <c r="L57" s="189" t="str">
        <f>IF(Q25="",L26,IF(L29="","",IF(L29&gt;2,L26,IF(R29&gt;2,Q26,""))))</f>
        <v/>
      </c>
      <c r="M57" s="190"/>
      <c r="N57" s="191"/>
      <c r="O57" s="95">
        <v>13</v>
      </c>
      <c r="P57" s="96">
        <v>14</v>
      </c>
      <c r="Q57" s="189" t="str">
        <f>IF(L36="",Q37,IF(L40="","",IF(L40&gt;2,L37,IF(R40&gt;2,Q37,""))))</f>
        <v>MORENO Chloé</v>
      </c>
      <c r="R57" s="190"/>
      <c r="S57" s="191"/>
    </row>
    <row r="58" spans="1:20" s="27" customFormat="1" ht="21.95" customHeight="1" outlineLevel="1">
      <c r="B58" s="189" t="str">
        <f>IF(Q4="",L6,IF(L8="","",IF(L8&gt;2,L6,IF(R8&gt;2,Q6,""))))</f>
        <v/>
      </c>
      <c r="C58" s="190"/>
      <c r="D58" s="191"/>
      <c r="E58" s="95">
        <v>15</v>
      </c>
      <c r="F58" s="96">
        <v>16</v>
      </c>
      <c r="G58" s="189" t="str">
        <f>IF(L14="",Q16,IF(L18="","",IF(L18&gt;2,L16,IF(R18&gt;2,Q16,""))))</f>
        <v/>
      </c>
      <c r="H58" s="190"/>
      <c r="I58" s="191"/>
      <c r="L58" s="189" t="str">
        <f>IF(Q25="",L27,IF(L29="","",IF(L29&gt;2,L27,IF(R29&gt;2,Q27,""))))</f>
        <v/>
      </c>
      <c r="M58" s="190"/>
      <c r="N58" s="191"/>
      <c r="O58" s="95">
        <v>15</v>
      </c>
      <c r="P58" s="96">
        <v>16</v>
      </c>
      <c r="Q58" s="189" t="str">
        <f>IF(L36="",Q38,IF(L40="","",IF(L40&gt;2,L38,IF(R40&gt;2,Q38,""))))</f>
        <v>BERGUE Jules</v>
      </c>
      <c r="R58" s="190"/>
      <c r="S58" s="191"/>
    </row>
    <row r="59" spans="1:20" s="27" customFormat="1" ht="21.95" customHeight="1" outlineLevel="1" thickBot="1">
      <c r="B59" s="189" t="str">
        <f>IF(Q4="",L7,IF(L8="","",IF(L8&gt;2,L7,IF(R8&gt;2,Q7,""))))</f>
        <v/>
      </c>
      <c r="C59" s="190"/>
      <c r="D59" s="191"/>
      <c r="E59" s="95">
        <v>17</v>
      </c>
      <c r="F59" s="96">
        <v>18</v>
      </c>
      <c r="G59" s="189" t="str">
        <f>IF(L14="",Q17,IF(L18="","",IF(L18&gt;2,L17,IF(R18&gt;2,Q17,""))))</f>
        <v/>
      </c>
      <c r="H59" s="190"/>
      <c r="I59" s="191"/>
      <c r="L59" s="189" t="str">
        <f>IF(Q25="",L28,IF(L29="","",IF(L29&gt;2,L28,IF(R29&gt;2,Q28,""))))</f>
        <v/>
      </c>
      <c r="M59" s="190"/>
      <c r="N59" s="191"/>
      <c r="O59" s="95">
        <v>17</v>
      </c>
      <c r="P59" s="96">
        <v>18</v>
      </c>
      <c r="Q59" s="189" t="str">
        <f>IF(L36="",Q39,IF(L40="","",IF(L40&gt;2,L39,IF(R40&gt;2,Q39,""))))</f>
        <v>RAMALHO Nathéo</v>
      </c>
      <c r="R59" s="190"/>
      <c r="S59" s="191"/>
    </row>
    <row r="60" spans="1:20" ht="21.95" customHeight="1">
      <c r="A60" s="23" t="str">
        <f>IF(D60="","",IF(D60&gt;1,1,0))</f>
        <v/>
      </c>
      <c r="B60" s="183" t="str">
        <f>IF(D60="","",SUM(A60:A64))</f>
        <v/>
      </c>
      <c r="C60" s="192"/>
      <c r="D60" s="59"/>
      <c r="E60" s="214"/>
      <c r="F60" s="215"/>
      <c r="G60" s="59"/>
      <c r="H60" s="182" t="str">
        <f>IF(G60="","",SUM(J60:J64))</f>
        <v/>
      </c>
      <c r="I60" s="183"/>
      <c r="J60" s="29" t="str">
        <f>IF(G60="","",IF(G60&gt;1,1,0))</f>
        <v/>
      </c>
      <c r="K60" s="23">
        <f>IF(N60="","",IF(N60&gt;1,1,0))</f>
        <v>0</v>
      </c>
      <c r="L60" s="183">
        <f>IF(N60="","",SUM(K60:K64))</f>
        <v>0</v>
      </c>
      <c r="M60" s="192"/>
      <c r="N60" s="59">
        <v>0</v>
      </c>
      <c r="O60" s="214"/>
      <c r="P60" s="215"/>
      <c r="Q60" s="59"/>
      <c r="R60" s="182" t="str">
        <f>IF(Q60="","",SUM(T60:T64))</f>
        <v/>
      </c>
      <c r="S60" s="183"/>
      <c r="T60" s="29" t="str">
        <f>IF(Q60="","",IF(Q60&gt;1,1,0))</f>
        <v/>
      </c>
    </row>
    <row r="61" spans="1:20" ht="21.95" customHeight="1">
      <c r="A61" s="23" t="str">
        <f>IF(D61="","",IF(D61&gt;1,1,0))</f>
        <v/>
      </c>
      <c r="B61" s="185"/>
      <c r="C61" s="193"/>
      <c r="D61" s="60"/>
      <c r="E61" s="180"/>
      <c r="F61" s="181"/>
      <c r="G61" s="60"/>
      <c r="H61" s="184"/>
      <c r="I61" s="185"/>
      <c r="J61" s="29" t="str">
        <f>IF(G61="","",IF(G61&gt;1,1,0))</f>
        <v/>
      </c>
      <c r="K61" s="23">
        <f>IF(N61="","",IF(N61&gt;1,1,0))</f>
        <v>0</v>
      </c>
      <c r="L61" s="185"/>
      <c r="M61" s="193"/>
      <c r="N61" s="60">
        <v>0</v>
      </c>
      <c r="O61" s="180"/>
      <c r="P61" s="181"/>
      <c r="Q61" s="60"/>
      <c r="R61" s="184"/>
      <c r="S61" s="185"/>
      <c r="T61" s="29" t="str">
        <f>IF(Q61="","",IF(Q61&gt;1,1,0))</f>
        <v/>
      </c>
    </row>
    <row r="62" spans="1:20" ht="21.95" customHeight="1">
      <c r="A62" s="23" t="str">
        <f>IF(D62="","",IF(D62&gt;1,1,0))</f>
        <v/>
      </c>
      <c r="B62" s="185"/>
      <c r="C62" s="193"/>
      <c r="D62" s="60"/>
      <c r="E62" s="180"/>
      <c r="F62" s="181"/>
      <c r="G62" s="60"/>
      <c r="H62" s="184"/>
      <c r="I62" s="185"/>
      <c r="J62" s="29" t="str">
        <f>IF(G62="","",IF(G62&gt;1,1,0))</f>
        <v/>
      </c>
      <c r="K62" s="23">
        <f>IF(N62="","",IF(N62&gt;1,1,0))</f>
        <v>0</v>
      </c>
      <c r="L62" s="185"/>
      <c r="M62" s="193"/>
      <c r="N62" s="60">
        <v>0</v>
      </c>
      <c r="O62" s="180"/>
      <c r="P62" s="181"/>
      <c r="Q62" s="60"/>
      <c r="R62" s="184"/>
      <c r="S62" s="185"/>
      <c r="T62" s="29" t="str">
        <f>IF(Q62="","",IF(Q62&gt;1,1,0))</f>
        <v/>
      </c>
    </row>
    <row r="63" spans="1:20" ht="21.95" customHeight="1">
      <c r="A63" s="23" t="str">
        <f>IF(D63="","",IF(D63&gt;1,1,0))</f>
        <v/>
      </c>
      <c r="B63" s="185"/>
      <c r="C63" s="193"/>
      <c r="D63" s="60"/>
      <c r="E63" s="180"/>
      <c r="F63" s="181"/>
      <c r="G63" s="60"/>
      <c r="H63" s="184"/>
      <c r="I63" s="185"/>
      <c r="J63" s="29" t="str">
        <f>IF(G63="","",IF(G63&gt;1,1,0))</f>
        <v/>
      </c>
      <c r="K63" s="23" t="str">
        <f>IF(N63="","",IF(N63&gt;1,1,0))</f>
        <v/>
      </c>
      <c r="L63" s="185"/>
      <c r="M63" s="193"/>
      <c r="N63" s="60"/>
      <c r="O63" s="180"/>
      <c r="P63" s="181"/>
      <c r="Q63" s="60"/>
      <c r="R63" s="184"/>
      <c r="S63" s="185"/>
      <c r="T63" s="29" t="str">
        <f>IF(Q63="","",IF(Q63&gt;1,1,0))</f>
        <v/>
      </c>
    </row>
    <row r="64" spans="1:20" ht="21.95" customHeight="1" thickBot="1">
      <c r="A64" s="23" t="str">
        <f>IF(D64="","",IF(D64&gt;1,1,0))</f>
        <v/>
      </c>
      <c r="B64" s="185"/>
      <c r="C64" s="193"/>
      <c r="D64" s="61"/>
      <c r="E64" s="180"/>
      <c r="F64" s="181"/>
      <c r="G64" s="61"/>
      <c r="H64" s="184"/>
      <c r="I64" s="185"/>
      <c r="J64" s="29" t="str">
        <f>IF(G64="","",IF(G64&gt;1,1,0))</f>
        <v/>
      </c>
      <c r="K64" s="23" t="str">
        <f>IF(N64="","",IF(N64&gt;1,1,0))</f>
        <v/>
      </c>
      <c r="L64" s="185"/>
      <c r="M64" s="193"/>
      <c r="N64" s="61"/>
      <c r="O64" s="180"/>
      <c r="P64" s="181"/>
      <c r="Q64" s="61"/>
      <c r="R64" s="184"/>
      <c r="S64" s="185"/>
      <c r="T64" s="29" t="str">
        <f>IF(Q64="","",IF(Q64&gt;1,1,0))</f>
        <v/>
      </c>
    </row>
    <row r="65" spans="1:20" ht="249.95" hidden="1" customHeight="1" outlineLevel="1"/>
    <row r="66" spans="1:20" ht="60" customHeight="1" collapsed="1" thickBot="1">
      <c r="A66" s="179" t="s">
        <v>6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</row>
    <row r="67" spans="1:20" s="28" customFormat="1" ht="27.95" customHeight="1" thickBot="1">
      <c r="B67" s="203" t="str">
        <f>IF(G46="",B46,IF(B50="","",IF(H50="","",IF(B50&gt;2,B46,IF(H50&gt;2,G46,"")))))</f>
        <v>38 TSM</v>
      </c>
      <c r="C67" s="204"/>
      <c r="D67" s="205"/>
      <c r="E67" s="206" t="s">
        <v>11</v>
      </c>
      <c r="F67" s="207"/>
      <c r="G67" s="203" t="str">
        <f>IF(B56="",G56,IF(B60="","",IF(H60="","",IF(B60&gt;2,B56,IF(H60&gt;2,G56,"")))))</f>
        <v/>
      </c>
      <c r="H67" s="204"/>
      <c r="I67" s="205"/>
      <c r="L67" s="203" t="str">
        <f>IF(Q46="",L46,IF(L50="","",IF(R50="","",IF(L50&gt;2,L46,IF(R50&gt;2,Q46,"")))))</f>
        <v/>
      </c>
      <c r="M67" s="204"/>
      <c r="N67" s="205"/>
      <c r="O67" s="206" t="s">
        <v>11</v>
      </c>
      <c r="P67" s="207"/>
      <c r="Q67" s="203" t="str">
        <f>IF(L56="",Q56,IF(L60="","",IF(R60="","",IF(L60&gt;2,L56,IF(R60&gt;2,Q56,"")))))</f>
        <v>AST MONTAUBAN</v>
      </c>
      <c r="R67" s="204"/>
      <c r="S67" s="205"/>
    </row>
    <row r="68" spans="1:20" s="27" customFormat="1" ht="21.95" customHeight="1" outlineLevel="1">
      <c r="B68" s="200" t="str">
        <f>IF(G46="",B47,IF(B50="","",IF(H50="","",IF(B50&gt;2,B47,IF(H50&gt;2,G47,"")))))</f>
        <v>TOUSSAIN Jules</v>
      </c>
      <c r="C68" s="201"/>
      <c r="D68" s="202"/>
      <c r="E68" s="99">
        <v>6</v>
      </c>
      <c r="F68" s="100">
        <v>7</v>
      </c>
      <c r="G68" s="200" t="str">
        <f>IF(B56="",G57,IF(B60="","",IF(H60="","",IF(B60&gt;2,B57,IF(H60&gt;2,G57,"")))))</f>
        <v/>
      </c>
      <c r="H68" s="201"/>
      <c r="I68" s="202"/>
      <c r="L68" s="200" t="str">
        <f>IF(Q46="",L47,IF(L50="","",IF(R50="","",IF(L50&gt;2,L47,IF(R50&gt;2,Q47,"")))))</f>
        <v/>
      </c>
      <c r="M68" s="201"/>
      <c r="N68" s="202"/>
      <c r="O68" s="101">
        <v>5</v>
      </c>
      <c r="P68" s="102">
        <v>6</v>
      </c>
      <c r="Q68" s="200" t="str">
        <f>IF(L56="",Q57,IF(L60="","",IF(R60="","",IF(L60&gt;2,L57,IF(R60&gt;2,Q57,"")))))</f>
        <v>MORENO Chloé</v>
      </c>
      <c r="R68" s="201"/>
      <c r="S68" s="202"/>
    </row>
    <row r="69" spans="1:20" s="27" customFormat="1" ht="21.95" customHeight="1" outlineLevel="1">
      <c r="B69" s="200" t="str">
        <f>IF(G46="",B48,IF(B50="","",IF(H50="","",IF(B50&gt;2,B48,IF(H50&gt;2,G48,"")))))</f>
        <v>SAFFON Nathanael</v>
      </c>
      <c r="C69" s="201"/>
      <c r="D69" s="202"/>
      <c r="E69" s="99">
        <v>8</v>
      </c>
      <c r="F69" s="100">
        <v>9</v>
      </c>
      <c r="G69" s="200" t="str">
        <f>IF(B56="",G58,IF(B60="","",IF(H60="","",IF(B60&gt;2,B58,IF(H60&gt;2,G58,"")))))</f>
        <v/>
      </c>
      <c r="H69" s="201"/>
      <c r="I69" s="202"/>
      <c r="L69" s="200" t="str">
        <f>IF(Q46="",L48,IF(L50="","",IF(R50="","",IF(L50&gt;2,L48,IF(R50&gt;2,Q48,"")))))</f>
        <v/>
      </c>
      <c r="M69" s="201"/>
      <c r="N69" s="202"/>
      <c r="O69" s="101">
        <v>7</v>
      </c>
      <c r="P69" s="102">
        <v>8</v>
      </c>
      <c r="Q69" s="200" t="str">
        <f>IF(L56="",Q58,IF(L60="","",IF(R60="","",IF(L60&gt;2,L58,IF(R60&gt;2,Q58,"")))))</f>
        <v>BERGUE Jules</v>
      </c>
      <c r="R69" s="201"/>
      <c r="S69" s="202"/>
    </row>
    <row r="70" spans="1:20" s="27" customFormat="1" ht="21.95" customHeight="1" outlineLevel="1" thickBot="1">
      <c r="B70" s="200" t="str">
        <f>IF(G46="",B49,IF(B50="","",IF(H50="","",IF(B50&gt;2,B49,IF(H50&gt;2,G49,"")))))</f>
        <v>ESTOR Valentin</v>
      </c>
      <c r="C70" s="201"/>
      <c r="D70" s="202"/>
      <c r="E70" s="99">
        <v>10</v>
      </c>
      <c r="F70" s="100">
        <v>11</v>
      </c>
      <c r="G70" s="200" t="str">
        <f>IF(B56="",G59,IF(B60="","",IF(H60="","",IF(B60&gt;2,B59,IF(H60&gt;2,G59,"")))))</f>
        <v/>
      </c>
      <c r="H70" s="201"/>
      <c r="I70" s="202"/>
      <c r="L70" s="200" t="str">
        <f>IF(Q46="",L49,IF(L50="","",IF(R50="","",IF(L50&gt;2,L49,IF(R50&gt;2,Q49,"")))))</f>
        <v/>
      </c>
      <c r="M70" s="201"/>
      <c r="N70" s="202"/>
      <c r="O70" s="101">
        <v>9</v>
      </c>
      <c r="P70" s="102">
        <v>10</v>
      </c>
      <c r="Q70" s="200" t="str">
        <f>IF(L56="",Q59,IF(L60="","",IF(R60="","",IF(L60&gt;2,L59,IF(R60&gt;2,Q59,"")))))</f>
        <v>RAMALHO Nathéo</v>
      </c>
      <c r="R70" s="201"/>
      <c r="S70" s="202"/>
    </row>
    <row r="71" spans="1:20" ht="21.95" customHeight="1">
      <c r="A71" s="23" t="str">
        <f>IF(D71="","",IF(D71&gt;1,1,0))</f>
        <v/>
      </c>
      <c r="B71" s="183" t="str">
        <f>IF(D71="","",SUM(A71:A77))</f>
        <v/>
      </c>
      <c r="C71" s="192"/>
      <c r="D71" s="59"/>
      <c r="E71" s="214"/>
      <c r="F71" s="215"/>
      <c r="G71" s="59"/>
      <c r="H71" s="182" t="str">
        <f>IF(G71="","",SUM(J71:J77))</f>
        <v/>
      </c>
      <c r="I71" s="183"/>
      <c r="J71" s="29" t="str">
        <f>IF(G71="","",IF(G71&gt;1,1,0))</f>
        <v/>
      </c>
      <c r="K71" s="23" t="str">
        <f>IF(N71="","",IF(N71&gt;1,1,0))</f>
        <v/>
      </c>
      <c r="L71" s="183" t="str">
        <f>IF(N71="","",SUM(K71:K77))</f>
        <v/>
      </c>
      <c r="M71" s="192"/>
      <c r="N71" s="59"/>
      <c r="O71" s="214"/>
      <c r="P71" s="215"/>
      <c r="Q71" s="59"/>
      <c r="R71" s="182" t="str">
        <f>IF(Q71="","",SUM(T71:T77))</f>
        <v/>
      </c>
      <c r="S71" s="183"/>
      <c r="T71" s="29" t="str">
        <f>IF(Q71="","",IF(Q71&gt;1,1,0))</f>
        <v/>
      </c>
    </row>
    <row r="72" spans="1:20" ht="21.95" customHeight="1">
      <c r="A72" s="23" t="str">
        <f t="shared" ref="A72:A77" si="0">IF(D72="","",IF(D72&gt;1,1,0))</f>
        <v/>
      </c>
      <c r="B72" s="185"/>
      <c r="C72" s="193"/>
      <c r="D72" s="60"/>
      <c r="E72" s="180"/>
      <c r="F72" s="181"/>
      <c r="G72" s="60"/>
      <c r="H72" s="184"/>
      <c r="I72" s="185"/>
      <c r="J72" s="29" t="str">
        <f t="shared" ref="J72:J77" si="1">IF(G72="","",IF(G72&gt;1,1,0))</f>
        <v/>
      </c>
      <c r="K72" s="23" t="str">
        <f t="shared" ref="K72:K77" si="2">IF(N72="","",IF(N72&gt;1,1,0))</f>
        <v/>
      </c>
      <c r="L72" s="185"/>
      <c r="M72" s="193"/>
      <c r="N72" s="60"/>
      <c r="O72" s="180"/>
      <c r="P72" s="181"/>
      <c r="Q72" s="60"/>
      <c r="R72" s="184"/>
      <c r="S72" s="185"/>
      <c r="T72" s="29" t="str">
        <f t="shared" ref="T72:T77" si="3">IF(Q72="","",IF(Q72&gt;1,1,0))</f>
        <v/>
      </c>
    </row>
    <row r="73" spans="1:20" ht="21.95" customHeight="1">
      <c r="A73" s="23" t="str">
        <f t="shared" si="0"/>
        <v/>
      </c>
      <c r="B73" s="185"/>
      <c r="C73" s="193"/>
      <c r="D73" s="60"/>
      <c r="E73" s="180"/>
      <c r="F73" s="181"/>
      <c r="G73" s="60"/>
      <c r="H73" s="184"/>
      <c r="I73" s="185"/>
      <c r="J73" s="29" t="str">
        <f t="shared" si="1"/>
        <v/>
      </c>
      <c r="K73" s="23" t="str">
        <f t="shared" si="2"/>
        <v/>
      </c>
      <c r="L73" s="185"/>
      <c r="M73" s="193"/>
      <c r="N73" s="60"/>
      <c r="O73" s="180"/>
      <c r="P73" s="181"/>
      <c r="Q73" s="60"/>
      <c r="R73" s="184"/>
      <c r="S73" s="185"/>
      <c r="T73" s="29" t="str">
        <f t="shared" si="3"/>
        <v/>
      </c>
    </row>
    <row r="74" spans="1:20" ht="21.95" customHeight="1">
      <c r="A74" s="23" t="str">
        <f t="shared" si="0"/>
        <v/>
      </c>
      <c r="B74" s="185"/>
      <c r="C74" s="193"/>
      <c r="D74" s="60"/>
      <c r="E74" s="180"/>
      <c r="F74" s="181"/>
      <c r="G74" s="60"/>
      <c r="H74" s="184"/>
      <c r="I74" s="185"/>
      <c r="J74" s="29" t="str">
        <f t="shared" si="1"/>
        <v/>
      </c>
      <c r="K74" s="23" t="str">
        <f t="shared" si="2"/>
        <v/>
      </c>
      <c r="L74" s="185"/>
      <c r="M74" s="193"/>
      <c r="N74" s="60"/>
      <c r="O74" s="180"/>
      <c r="P74" s="181"/>
      <c r="Q74" s="60"/>
      <c r="R74" s="184"/>
      <c r="S74" s="185"/>
      <c r="T74" s="29" t="str">
        <f t="shared" si="3"/>
        <v/>
      </c>
    </row>
    <row r="75" spans="1:20" ht="21.95" customHeight="1">
      <c r="A75" s="23" t="str">
        <f t="shared" si="0"/>
        <v/>
      </c>
      <c r="B75" s="185"/>
      <c r="C75" s="193"/>
      <c r="D75" s="60"/>
      <c r="E75" s="180"/>
      <c r="F75" s="181"/>
      <c r="G75" s="60"/>
      <c r="H75" s="184"/>
      <c r="I75" s="185"/>
      <c r="J75" s="29" t="str">
        <f t="shared" si="1"/>
        <v/>
      </c>
      <c r="K75" s="23" t="str">
        <f t="shared" si="2"/>
        <v/>
      </c>
      <c r="L75" s="185"/>
      <c r="M75" s="193"/>
      <c r="N75" s="60"/>
      <c r="O75" s="180"/>
      <c r="P75" s="181"/>
      <c r="Q75" s="60"/>
      <c r="R75" s="184"/>
      <c r="S75" s="185"/>
      <c r="T75" s="29" t="str">
        <f t="shared" si="3"/>
        <v/>
      </c>
    </row>
    <row r="76" spans="1:20" ht="21.95" customHeight="1">
      <c r="A76" s="23" t="str">
        <f t="shared" si="0"/>
        <v/>
      </c>
      <c r="B76" s="185"/>
      <c r="C76" s="193"/>
      <c r="D76" s="60"/>
      <c r="E76" s="180"/>
      <c r="F76" s="181"/>
      <c r="G76" s="60"/>
      <c r="H76" s="184"/>
      <c r="I76" s="185"/>
      <c r="J76" s="29" t="str">
        <f t="shared" si="1"/>
        <v/>
      </c>
      <c r="K76" s="23" t="str">
        <f t="shared" si="2"/>
        <v/>
      </c>
      <c r="L76" s="185"/>
      <c r="M76" s="193"/>
      <c r="N76" s="60"/>
      <c r="O76" s="180"/>
      <c r="P76" s="181"/>
      <c r="Q76" s="60"/>
      <c r="R76" s="184"/>
      <c r="S76" s="185"/>
      <c r="T76" s="29" t="str">
        <f t="shared" si="3"/>
        <v/>
      </c>
    </row>
    <row r="77" spans="1:20" ht="21.95" customHeight="1" thickBot="1">
      <c r="A77" s="23" t="str">
        <f t="shared" si="0"/>
        <v/>
      </c>
      <c r="B77" s="185"/>
      <c r="C77" s="193"/>
      <c r="D77" s="61"/>
      <c r="E77" s="180"/>
      <c r="F77" s="181"/>
      <c r="G77" s="61"/>
      <c r="H77" s="184"/>
      <c r="I77" s="185"/>
      <c r="J77" s="29" t="str">
        <f t="shared" si="1"/>
        <v/>
      </c>
      <c r="K77" s="23" t="str">
        <f t="shared" si="2"/>
        <v/>
      </c>
      <c r="L77" s="185"/>
      <c r="M77" s="193"/>
      <c r="N77" s="61"/>
      <c r="O77" s="180"/>
      <c r="P77" s="181"/>
      <c r="Q77" s="61"/>
      <c r="R77" s="184"/>
      <c r="S77" s="185"/>
      <c r="T77" s="29" t="str">
        <f t="shared" si="3"/>
        <v/>
      </c>
    </row>
    <row r="78" spans="1:20" ht="327" hidden="1" customHeight="1" outlineLevel="1"/>
    <row r="79" spans="1:20" ht="51" customHeight="1" collapsed="1" thickBot="1">
      <c r="G79" s="234" t="s">
        <v>16</v>
      </c>
      <c r="H79" s="234"/>
      <c r="I79" s="234"/>
      <c r="J79" s="234"/>
      <c r="K79" s="234"/>
      <c r="L79" s="234"/>
      <c r="M79" s="234"/>
      <c r="N79" s="234"/>
      <c r="O79" s="22"/>
    </row>
    <row r="80" spans="1:20" s="28" customFormat="1" ht="27.95" customHeight="1" thickBot="1">
      <c r="G80" s="216" t="str">
        <f>IF(G67="","",IF(B71="","",IF(H71="","",IF(B71&gt;3,G67,IF(H71&gt;3,B67,"")))))</f>
        <v/>
      </c>
      <c r="H80" s="217"/>
      <c r="I80" s="218"/>
      <c r="J80" s="206" t="s">
        <v>11</v>
      </c>
      <c r="K80" s="207"/>
      <c r="L80" s="216" t="str">
        <f>IF(L67="","",IF(L71="","",IF(R71="","",IF(L71&gt;3,Q67,IF(R71&gt;3,L67,"")))))</f>
        <v/>
      </c>
      <c r="M80" s="217"/>
      <c r="N80" s="218"/>
    </row>
    <row r="81" spans="6:15" s="27" customFormat="1" ht="21.95" customHeight="1" outlineLevel="1">
      <c r="G81" s="186" t="str">
        <f>IF(G67="","",IF(B71="","",IF(H71="","",IF(B71&gt;3,G68,IF(H71&gt;3,B68,"")))))</f>
        <v/>
      </c>
      <c r="H81" s="187"/>
      <c r="I81" s="188"/>
      <c r="J81" s="103">
        <v>6</v>
      </c>
      <c r="K81" s="104">
        <v>7</v>
      </c>
      <c r="L81" s="186" t="str">
        <f>IF(L67="","",IF(L71="","",IF(R71="","",IF(L71&gt;3,Q68,IF(R71&gt;3,L68,"")))))</f>
        <v/>
      </c>
      <c r="M81" s="187"/>
      <c r="N81" s="188"/>
    </row>
    <row r="82" spans="6:15" s="27" customFormat="1" ht="21.95" customHeight="1" outlineLevel="1">
      <c r="G82" s="186" t="str">
        <f>IF(G67="","",IF(B71="","",IF(H71="","",IF(B71&gt;3,G69,IF(H71&gt;3,B69,"")))))</f>
        <v/>
      </c>
      <c r="H82" s="187"/>
      <c r="I82" s="188"/>
      <c r="J82" s="103">
        <v>8</v>
      </c>
      <c r="K82" s="104">
        <v>9</v>
      </c>
      <c r="L82" s="186" t="str">
        <f>IF(L67="","",IF(L71="","",IF(R71="","",IF(L71&gt;3,Q69,IF(R71&gt;3,L69,"")))))</f>
        <v/>
      </c>
      <c r="M82" s="187"/>
      <c r="N82" s="188"/>
    </row>
    <row r="83" spans="6:15" s="27" customFormat="1" ht="21.95" customHeight="1" outlineLevel="1" thickBot="1">
      <c r="G83" s="186" t="str">
        <f>IF(G67="","",IF(B71="","",IF(H71="","",IF(B71&gt;3,G70,IF(H71&gt;3,B70,"")))))</f>
        <v/>
      </c>
      <c r="H83" s="187"/>
      <c r="I83" s="188"/>
      <c r="J83" s="103">
        <v>10</v>
      </c>
      <c r="K83" s="104">
        <v>11</v>
      </c>
      <c r="L83" s="186" t="str">
        <f>IF(L67="","",IF(L71="","",IF(R71="","",IF(L71&gt;3,Q70,IF(R71&gt;3,L70,"")))))</f>
        <v/>
      </c>
      <c r="M83" s="187"/>
      <c r="N83" s="188"/>
    </row>
    <row r="84" spans="6:15" ht="21.95" customHeight="1">
      <c r="F84" s="23" t="str">
        <f>IF(I84="","",IF(I84&gt;1,1,0))</f>
        <v/>
      </c>
      <c r="G84" s="183" t="str">
        <f>IF(I84="","",SUM(F84:F90))</f>
        <v/>
      </c>
      <c r="H84" s="192"/>
      <c r="I84" s="59"/>
      <c r="J84" s="214"/>
      <c r="K84" s="215"/>
      <c r="L84" s="59"/>
      <c r="M84" s="182" t="str">
        <f>IF(L84="","",SUM(O84:O90))</f>
        <v/>
      </c>
      <c r="N84" s="183"/>
      <c r="O84" s="29" t="str">
        <f>IF(L84="","",IF(L84&gt;1,1,0))</f>
        <v/>
      </c>
    </row>
    <row r="85" spans="6:15" ht="21.95" customHeight="1">
      <c r="F85" s="23" t="str">
        <f t="shared" ref="F85:F90" si="4">IF(I85="","",IF(I85&gt;1,1,0))</f>
        <v/>
      </c>
      <c r="G85" s="185"/>
      <c r="H85" s="193"/>
      <c r="I85" s="60"/>
      <c r="J85" s="180"/>
      <c r="K85" s="181"/>
      <c r="L85" s="60"/>
      <c r="M85" s="184"/>
      <c r="N85" s="185"/>
      <c r="O85" s="29" t="str">
        <f t="shared" ref="O85:O90" si="5">IF(L85="","",IF(L85&gt;1,1,0))</f>
        <v/>
      </c>
    </row>
    <row r="86" spans="6:15" ht="21.95" customHeight="1">
      <c r="F86" s="23" t="str">
        <f t="shared" si="4"/>
        <v/>
      </c>
      <c r="G86" s="185"/>
      <c r="H86" s="193"/>
      <c r="I86" s="60"/>
      <c r="J86" s="180"/>
      <c r="K86" s="181"/>
      <c r="L86" s="60"/>
      <c r="M86" s="184"/>
      <c r="N86" s="185"/>
      <c r="O86" s="29" t="str">
        <f t="shared" si="5"/>
        <v/>
      </c>
    </row>
    <row r="87" spans="6:15" ht="21.95" customHeight="1">
      <c r="F87" s="23" t="str">
        <f t="shared" si="4"/>
        <v/>
      </c>
      <c r="G87" s="185"/>
      <c r="H87" s="193"/>
      <c r="I87" s="60"/>
      <c r="J87" s="180"/>
      <c r="K87" s="181"/>
      <c r="L87" s="60"/>
      <c r="M87" s="184"/>
      <c r="N87" s="185"/>
      <c r="O87" s="29" t="str">
        <f t="shared" si="5"/>
        <v/>
      </c>
    </row>
    <row r="88" spans="6:15" ht="21.95" customHeight="1">
      <c r="F88" s="23" t="str">
        <f t="shared" si="4"/>
        <v/>
      </c>
      <c r="G88" s="185"/>
      <c r="H88" s="193"/>
      <c r="I88" s="60"/>
      <c r="J88" s="180"/>
      <c r="K88" s="181"/>
      <c r="L88" s="60"/>
      <c r="M88" s="184"/>
      <c r="N88" s="185"/>
      <c r="O88" s="29" t="str">
        <f t="shared" si="5"/>
        <v/>
      </c>
    </row>
    <row r="89" spans="6:15" ht="21.95" customHeight="1">
      <c r="F89" s="23" t="str">
        <f t="shared" si="4"/>
        <v/>
      </c>
      <c r="G89" s="185"/>
      <c r="H89" s="193"/>
      <c r="I89" s="60"/>
      <c r="J89" s="180"/>
      <c r="K89" s="181"/>
      <c r="L89" s="60"/>
      <c r="M89" s="184"/>
      <c r="N89" s="185"/>
      <c r="O89" s="29" t="str">
        <f t="shared" si="5"/>
        <v/>
      </c>
    </row>
    <row r="90" spans="6:15" ht="21.95" customHeight="1" thickBot="1">
      <c r="F90" s="23" t="str">
        <f t="shared" si="4"/>
        <v/>
      </c>
      <c r="G90" s="185"/>
      <c r="H90" s="193"/>
      <c r="I90" s="61"/>
      <c r="J90" s="180"/>
      <c r="K90" s="181"/>
      <c r="L90" s="61"/>
      <c r="M90" s="184"/>
      <c r="N90" s="185"/>
      <c r="O90" s="29" t="str">
        <f t="shared" si="5"/>
        <v/>
      </c>
    </row>
    <row r="91" spans="6:15" ht="15" customHeight="1"/>
    <row r="92" spans="6:15" ht="60" customHeight="1">
      <c r="F92" s="22"/>
      <c r="G92" s="179" t="s">
        <v>19</v>
      </c>
      <c r="H92" s="179"/>
      <c r="I92" s="179"/>
      <c r="J92" s="179"/>
      <c r="K92" s="179"/>
      <c r="L92" s="179"/>
      <c r="M92" s="179"/>
      <c r="N92" s="179"/>
    </row>
    <row r="93" spans="6:15" ht="27.95" customHeight="1" thickBot="1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7.95" customHeight="1" thickBot="1">
      <c r="F94" s="28"/>
      <c r="G94" s="211" t="str">
        <f>IF(G67="",B67,IF(B71="","",IF(H71="","",IF(B71&gt;3,B67,IF(H71&gt;3,G67,"")))))</f>
        <v>38 TSM</v>
      </c>
      <c r="H94" s="212"/>
      <c r="I94" s="213"/>
      <c r="J94" s="206" t="s">
        <v>11</v>
      </c>
      <c r="K94" s="207"/>
      <c r="L94" s="211" t="str">
        <f>IF(L67="",Q67,IF(L71="","",IF(R71="","",IF(L71&gt;3,L67,IF(R71&gt;3,Q67,"")))))</f>
        <v>AST MONTAUBAN</v>
      </c>
      <c r="M94" s="212"/>
      <c r="N94" s="213"/>
      <c r="O94" s="28"/>
    </row>
    <row r="95" spans="6:15" ht="20.100000000000001" customHeight="1" outlineLevel="1">
      <c r="F95" s="27"/>
      <c r="G95" s="208" t="str">
        <f>IF(G67="",B68,IF(B71="","",IF(H71="","",IF(B71&gt;3,B68,IF(H71&gt;3,G68,"")))))</f>
        <v>TOUSSAIN Jules</v>
      </c>
      <c r="H95" s="209"/>
      <c r="I95" s="210"/>
      <c r="J95" s="105">
        <v>5</v>
      </c>
      <c r="K95" s="106">
        <v>6</v>
      </c>
      <c r="L95" s="208" t="str">
        <f>IF(L67="",Q68,IF(L71="","",IF(R71="","",IF(L71&gt;3,L68,IF(R71&gt;3,Q68,"")))))</f>
        <v>MORENO Chloé</v>
      </c>
      <c r="M95" s="209"/>
      <c r="N95" s="210"/>
      <c r="O95" s="27"/>
    </row>
    <row r="96" spans="6:15" ht="20.100000000000001" customHeight="1" outlineLevel="1">
      <c r="F96" s="27"/>
      <c r="G96" s="208" t="str">
        <f>IF(G67="",B69,IF(B71="","",IF(H71="","",IF(B71&gt;3,B69,IF(H71&gt;3,G69,"")))))</f>
        <v>SAFFON Nathanael</v>
      </c>
      <c r="H96" s="209"/>
      <c r="I96" s="210"/>
      <c r="J96" s="105">
        <v>7</v>
      </c>
      <c r="K96" s="106">
        <v>8</v>
      </c>
      <c r="L96" s="208" t="str">
        <f>IF(L67="",Q69,IF(L71="","",IF(R71="","",IF(L71&gt;3,L69,IF(R71&gt;3,Q69,"")))))</f>
        <v>BERGUE Jules</v>
      </c>
      <c r="M96" s="209"/>
      <c r="N96" s="210"/>
      <c r="O96" s="27"/>
    </row>
    <row r="97" spans="6:15" ht="20.100000000000001" customHeight="1" outlineLevel="1" thickBot="1">
      <c r="F97" s="27"/>
      <c r="G97" s="208" t="str">
        <f>IF(G67="",B70,IF(B71="","",IF(H71="","",IF(B71&gt;3,B70,IF(H71&gt;3,G70,"")))))</f>
        <v>ESTOR Valentin</v>
      </c>
      <c r="H97" s="209"/>
      <c r="I97" s="210"/>
      <c r="J97" s="105">
        <v>9</v>
      </c>
      <c r="K97" s="106">
        <v>10</v>
      </c>
      <c r="L97" s="208" t="str">
        <f>IF(L67="",Q70,IF(L71="","",IF(R71="","",IF(L71&gt;3,L70,IF(R71&gt;3,Q70,"")))))</f>
        <v>RAMALHO Nathéo</v>
      </c>
      <c r="M97" s="209"/>
      <c r="N97" s="210"/>
      <c r="O97" s="27"/>
    </row>
    <row r="98" spans="6:15" ht="21.95" customHeight="1">
      <c r="F98" s="23">
        <f>IF(I98="","",IF(I98&gt;1,1,0))</f>
        <v>1</v>
      </c>
      <c r="G98" s="183">
        <f>IF(I98="","",SUM(F98:F104))</f>
        <v>4</v>
      </c>
      <c r="H98" s="192"/>
      <c r="I98" s="59">
        <v>2</v>
      </c>
      <c r="J98" s="214"/>
      <c r="K98" s="215"/>
      <c r="L98" s="59">
        <v>1</v>
      </c>
      <c r="M98" s="182">
        <f>IF(L98="","",SUM(O98:O104))</f>
        <v>1</v>
      </c>
      <c r="N98" s="183"/>
      <c r="O98" s="29">
        <f>IF(L98="","",IF(L98&gt;1,1,0))</f>
        <v>0</v>
      </c>
    </row>
    <row r="99" spans="6:15" ht="21.95" customHeight="1">
      <c r="F99" s="23">
        <f t="shared" ref="F99:F104" si="6">IF(I99="","",IF(I99&gt;1,1,0))</f>
        <v>0</v>
      </c>
      <c r="G99" s="185"/>
      <c r="H99" s="193"/>
      <c r="I99" s="60">
        <v>1</v>
      </c>
      <c r="J99" s="180"/>
      <c r="K99" s="181"/>
      <c r="L99" s="60">
        <v>2</v>
      </c>
      <c r="M99" s="184"/>
      <c r="N99" s="185"/>
      <c r="O99" s="29">
        <f t="shared" ref="O99:O104" si="7">IF(L99="","",IF(L99&gt;1,1,0))</f>
        <v>1</v>
      </c>
    </row>
    <row r="100" spans="6:15" ht="21.95" customHeight="1">
      <c r="F100" s="23">
        <f t="shared" si="6"/>
        <v>1</v>
      </c>
      <c r="G100" s="185"/>
      <c r="H100" s="193"/>
      <c r="I100" s="60">
        <v>3</v>
      </c>
      <c r="J100" s="180"/>
      <c r="K100" s="181"/>
      <c r="L100" s="60">
        <v>0</v>
      </c>
      <c r="M100" s="184"/>
      <c r="N100" s="185"/>
      <c r="O100" s="29">
        <f t="shared" si="7"/>
        <v>0</v>
      </c>
    </row>
    <row r="101" spans="6:15" ht="21.95" customHeight="1">
      <c r="F101" s="23">
        <f t="shared" si="6"/>
        <v>1</v>
      </c>
      <c r="G101" s="185"/>
      <c r="H101" s="193"/>
      <c r="I101" s="60">
        <v>2</v>
      </c>
      <c r="J101" s="180"/>
      <c r="K101" s="181"/>
      <c r="L101" s="60">
        <v>1</v>
      </c>
      <c r="M101" s="184"/>
      <c r="N101" s="185"/>
      <c r="O101" s="29">
        <f t="shared" si="7"/>
        <v>0</v>
      </c>
    </row>
    <row r="102" spans="6:15" ht="21.95" customHeight="1">
      <c r="F102" s="23">
        <f t="shared" si="6"/>
        <v>1</v>
      </c>
      <c r="G102" s="185"/>
      <c r="H102" s="193"/>
      <c r="I102" s="60">
        <v>2</v>
      </c>
      <c r="J102" s="180"/>
      <c r="K102" s="181"/>
      <c r="L102" s="60">
        <v>1</v>
      </c>
      <c r="M102" s="184"/>
      <c r="N102" s="185"/>
      <c r="O102" s="29">
        <f t="shared" si="7"/>
        <v>0</v>
      </c>
    </row>
    <row r="103" spans="6:15" ht="21.95" customHeight="1">
      <c r="F103" s="23" t="str">
        <f t="shared" si="6"/>
        <v/>
      </c>
      <c r="G103" s="185"/>
      <c r="H103" s="193"/>
      <c r="I103" s="60"/>
      <c r="J103" s="180"/>
      <c r="K103" s="181"/>
      <c r="L103" s="60"/>
      <c r="M103" s="184"/>
      <c r="N103" s="185"/>
      <c r="O103" s="29" t="str">
        <f t="shared" si="7"/>
        <v/>
      </c>
    </row>
    <row r="104" spans="6:15" ht="21.95" customHeight="1" thickBot="1">
      <c r="F104" s="23" t="str">
        <f t="shared" si="6"/>
        <v/>
      </c>
      <c r="G104" s="185"/>
      <c r="H104" s="193"/>
      <c r="I104" s="61"/>
      <c r="J104" s="180"/>
      <c r="K104" s="181"/>
      <c r="L104" s="61"/>
      <c r="M104" s="184"/>
      <c r="N104" s="185"/>
      <c r="O104" s="29" t="str">
        <f t="shared" si="7"/>
        <v/>
      </c>
    </row>
  </sheetData>
  <sheetProtection password="CF6D" sheet="1" objects="1" scenarios="1" formatColumns="0" selectLockedCells="1"/>
  <mergeCells count="271"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activeCell="O9" sqref="O9"/>
    </sheetView>
  </sheetViews>
  <sheetFormatPr baseColWidth="10" defaultColWidth="10.625" defaultRowHeight="15.75" outlineLevelCol="1"/>
  <cols>
    <col min="1" max="1" width="10.625" style="70"/>
    <col min="2" max="2" width="50.625" style="70" customWidth="1"/>
    <col min="3" max="3" width="50.625" style="70" customWidth="1" outlineLevel="1"/>
    <col min="4" max="4" width="20.625" style="70" customWidth="1"/>
    <col min="5" max="5" width="12.5" style="70" customWidth="1"/>
    <col min="6" max="6" width="6" style="70" hidden="1" customWidth="1"/>
    <col min="7" max="7" width="5.625" style="70" customWidth="1"/>
    <col min="8" max="8" width="8.625" style="70" customWidth="1"/>
    <col min="9" max="9" width="2.875" style="70" customWidth="1"/>
    <col min="10" max="10" width="15.5" style="70" hidden="1" customWidth="1" outlineLevel="1"/>
    <col min="11" max="11" width="18.5" style="70" hidden="1" customWidth="1" outlineLevel="1"/>
    <col min="12" max="12" width="31.875" style="70" hidden="1" customWidth="1" outlineLevel="1"/>
    <col min="13" max="13" width="13.375" style="70" hidden="1" customWidth="1" outlineLevel="1"/>
    <col min="14" max="14" width="10.625" style="70" collapsed="1"/>
    <col min="15" max="15" width="10.625" style="70"/>
    <col min="16" max="16" width="2.5" style="70" customWidth="1"/>
    <col min="17" max="16384" width="10.625" style="70"/>
  </cols>
  <sheetData>
    <row r="1" spans="1:18" ht="30" customHeight="1">
      <c r="A1" s="236" t="str">
        <f>CONCATENATE("PALMARES ",INFO!C6,"","CHAMPIONNAT DE FRANCE DES CLUBSECOLE DE TIR")</f>
        <v>PALMARES CHAMPIONNAT DE FRANCE DES CLUBSECOLE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39.950000000000003" customHeight="1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39.950000000000003" customHeight="1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>
      <c r="A4" s="238" t="str">
        <f>CONCATENATE(INFO!B7," - ",INFO!B9)</f>
        <v>PISTOLET - MIDI-PYRENEES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39.950000000000003" customHeight="1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39.950000000000003" customHeight="1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6.1" customHeight="1">
      <c r="A7" s="35">
        <v>1</v>
      </c>
      <c r="B7" s="38" t="str">
        <f>IF(A7="","",IF(P.F.!G98&gt;3,P.F.!G94,IF(P.F.!M98&gt;3,P.F.!L94,"")))</f>
        <v>38 TSM</v>
      </c>
      <c r="C7" s="38"/>
      <c r="D7" s="39">
        <f>IF(A7="","",VLOOKUP(B7,'M Q'!B$5:T$20,2,0))</f>
        <v>1931022</v>
      </c>
      <c r="E7" s="141">
        <f>IF(A7="","",VLOOKUP(B7,'M Q'!B$5:T$20,18,0))</f>
        <v>457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6.1" customHeight="1">
      <c r="A8" s="35">
        <f>IF(INFO!B8&gt;1,2,"")</f>
        <v>2</v>
      </c>
      <c r="B8" s="38" t="str">
        <f>IF(A8="","",IF(P.F.!G98&gt;3,P.F.!L94,IF(P.F.!M98&gt;3,P.F.!G94,"")))</f>
        <v>AST MONTAUBAN</v>
      </c>
      <c r="C8" s="38"/>
      <c r="D8" s="39">
        <f>IF(A8="","",VLOOKUP(B8,'M Q'!B$5:T$20,2,0))</f>
        <v>1982105</v>
      </c>
      <c r="E8" s="141">
        <f>IF(A8="","",VLOOKUP(B8,'M Q'!B$5:T$20,18,0))</f>
        <v>444</v>
      </c>
      <c r="F8" s="57">
        <f>IF(A8="","",VLOOKUP(B8,'M Q'!B$5:T$20,19,0))</f>
        <v>0</v>
      </c>
      <c r="G8" s="240"/>
      <c r="H8" s="16"/>
    </row>
    <row r="9" spans="1:18" s="73" customFormat="1" ht="26.1" customHeight="1">
      <c r="A9" s="35" t="str">
        <f>IF(INFO!B8&gt;2,3,"")</f>
        <v/>
      </c>
      <c r="B9" s="20" t="str">
        <f>IF(A9="","",IF(INFO!B8=3,P.F.!L80,IF(P.F.!G84&gt;3,P.F.!G80,IF(P.F.!M84&gt;3,P.F.!L80,""))))</f>
        <v/>
      </c>
      <c r="C9" s="20"/>
      <c r="D9" s="39" t="str">
        <f>IF(A9="","",VLOOKUP(B9,'M Q'!B$5:T$20,2,0))</f>
        <v/>
      </c>
      <c r="E9" s="141" t="str">
        <f>IF(A9="","",VLOOKUP(B9,'M Q'!B$5:T$20,18,0))</f>
        <v/>
      </c>
      <c r="F9" s="57" t="str">
        <f>IF(A9="","",VLOOKUP(B9,'M Q'!B$5:T$20,19,0))</f>
        <v/>
      </c>
      <c r="G9" s="240" t="s">
        <v>21</v>
      </c>
      <c r="H9" s="15"/>
    </row>
    <row r="10" spans="1:18" s="73" customFormat="1" ht="26.1" customHeight="1">
      <c r="A10" s="35" t="str">
        <f>IF(INFO!B8&gt;3,4,"")</f>
        <v/>
      </c>
      <c r="B10" s="20" t="str">
        <f>IF(A10="","",IF(P.F.!G84&gt;3,P.F.!L80,IF(P.F.!M84&gt;3,P.F.!G80,"")))</f>
        <v/>
      </c>
      <c r="C10" s="20"/>
      <c r="D10" s="39" t="str">
        <f>IF(A10="","",VLOOKUP(B10,'M Q'!B$5:T$20,2,0))</f>
        <v/>
      </c>
      <c r="E10" s="141" t="str">
        <f>IF(A10="","",VLOOKUP(B10,'M Q'!B$5:T$20,18,0))</f>
        <v/>
      </c>
      <c r="F10" s="57" t="str">
        <f>IF(A10="","",VLOOKUP(B10,'M Q'!B$5:T$20,19,0))</f>
        <v/>
      </c>
      <c r="G10" s="240"/>
      <c r="H10" s="15"/>
      <c r="J10" s="244" t="s">
        <v>15</v>
      </c>
      <c r="K10" s="244"/>
      <c r="L10" s="244"/>
      <c r="M10" s="244"/>
    </row>
    <row r="11" spans="1:18" s="73" customFormat="1" ht="26.1" customHeight="1">
      <c r="A11" s="35" t="str">
        <f>IF(INFO!B8&gt;4,5,"")</f>
        <v/>
      </c>
      <c r="B11" s="20" t="str">
        <f>IF(A11="","",VLOOKUP(E11,J$11:M$14,3,0))</f>
        <v/>
      </c>
      <c r="C11" s="20"/>
      <c r="D11" s="40" t="str">
        <f>IF(A11="","",VLOOKUP(E11,J$11:M$14,4,0))</f>
        <v/>
      </c>
      <c r="E11" s="20" t="str">
        <f>IF(A11="","",LARGE(J$11:J$14,1))</f>
        <v/>
      </c>
      <c r="F11" s="58" t="str">
        <f>IF(A11="","",VLOOKUP(E11,J$11:M$14,2,0))</f>
        <v/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IF(P.F.!D50="",0,IF(P.F.!B50&gt;2,P.F.!G46,IF(P.F.!H50&gt;2,P.F.!B46,"")))</f>
        <v>0</v>
      </c>
      <c r="M11" s="77" t="e">
        <f>VLOOKUP(L11,saisie!C$5:W$44,2,0)</f>
        <v>#N/A</v>
      </c>
    </row>
    <row r="12" spans="1:18" s="73" customFormat="1" ht="26.1" customHeight="1">
      <c r="A12" s="35" t="str">
        <f>IF(INFO!B8&gt;5,6,"")</f>
        <v/>
      </c>
      <c r="B12" s="20" t="str">
        <f>IF(A12="","",VLOOKUP(E12,J$11:M$14,3,0))</f>
        <v/>
      </c>
      <c r="C12" s="20"/>
      <c r="D12" s="40" t="str">
        <f>IF(A12="","",VLOOKUP(E12,J$11:M$14,4,0))</f>
        <v/>
      </c>
      <c r="E12" s="20" t="str">
        <f>IF(A12="","",LARGE(J$11:J$14,2))</f>
        <v/>
      </c>
      <c r="F12" s="58" t="str">
        <f>IF(A12="","",VLOOKUP(E12,J$11:M$14,2,0))</f>
        <v/>
      </c>
      <c r="G12" s="239"/>
      <c r="H12" s="15"/>
      <c r="J12" s="76">
        <f>IF(L12=0,0,VLOOKUP(L12,saisie!C$5:W$44,21,0))</f>
        <v>0</v>
      </c>
      <c r="K12" s="76" t="e">
        <f>VLOOKUP(L12,saisie!C$5:W$44,19,0)</f>
        <v>#N/A</v>
      </c>
      <c r="L12" s="76">
        <f>IF(P.F.!Q50="",0,IF(P.F.!L50&gt;2,P.F.!Q46,IF(P.F.!R50&gt;2,P.F.!L46,"")))</f>
        <v>0</v>
      </c>
      <c r="M12" s="77" t="e">
        <f>VLOOKUP(L12,saisie!C$5:W$44,2,0)</f>
        <v>#N/A</v>
      </c>
    </row>
    <row r="13" spans="1:18" s="73" customFormat="1" ht="26.1" customHeight="1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 t="e">
        <f>VLOOKUP(L13,saisie!C$5:W$44,21,0)</f>
        <v>#N/A</v>
      </c>
      <c r="K13" s="76" t="e">
        <f>VLOOKUP(L13,saisie!C$5:W$44,19,0)</f>
        <v>#N/A</v>
      </c>
      <c r="L13" s="76">
        <f>IF(P.F.!D60="",0,IF(P.F.!H60&gt;2,P.F.!B56,IF(P.F.!B60&gt;2,P.F.!G56,"")))</f>
        <v>0</v>
      </c>
      <c r="M13" s="77" t="e">
        <f>VLOOKUP(L13,saisie!C$5:W$44,2,0)</f>
        <v>#N/A</v>
      </c>
      <c r="N13" s="74"/>
      <c r="O13" s="74"/>
    </row>
    <row r="14" spans="1:18" s="73" customFormat="1" ht="26.1" customHeight="1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IF(P.F.!Q60="",0,IF(P.F.!R60&gt;2,P.F.!L56,IF(P.F.!L60&gt;2,P.F.!Q56,"")))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6.1" customHeight="1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IF(P.F.!D8="","",IF(P.F.!B8&gt;2,P.F.!G4,IF(P.F.!H8&gt;2,P.F.!B4,"")))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6.1" customHeight="1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IF(P.F.!N8="","",IF(P.F.!L8&gt;2,P.F.!Q4,IF(P.F.!R8&gt;2,P.F.!L4,"")))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6.1" customHeight="1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IF(P.F.!G18="","",IF(P.F.!H18&gt;2,P.F.!B14,IF(P.F.!B18&gt;2,P.F.!G14,"")))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6.1" customHeight="1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IF(P.F.!Q18="","",IF(P.F.!R18&gt;2,P.F.!L14,IF(P.F.!L18&gt;2,P.F.!Q14,"")))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6.1" customHeight="1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IF(P.F.!D29="","",IF(P.F.!B29&gt;2,P.F.!G25,IF(P.F.!H29&gt;2,P.F.!B25,"")))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6.1" customHeight="1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IF(P.F.!N29="","",IF(P.F.!L29&gt;2,P.F.!Q25,IF(P.F.!R29&gt;2,P.F.!L25,"")))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6.1" customHeight="1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IF(P.F.!G40="","",IF(P.F.!H40&gt;2,P.F.!B36,IF(P.F.!B40&gt;2,P.F.!G36,"")))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6.1" customHeight="1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IF(P.F.!Q40="","",IF(P.F.!R40&gt;2,P.F.!L36,IF(P.F.!L40&gt;2,P.F.!Q36,"")))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6.1" customHeight="1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6.1" customHeight="1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6.1" customHeight="1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6.1" customHeight="1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6.1" customHeight="1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6.1" customHeight="1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6.1" customHeight="1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6.1" customHeight="1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6.1" customHeight="1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6.1" customHeight="1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6.1" customHeight="1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6.1" customHeight="1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6.1" customHeight="1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6.1" customHeight="1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6.1" customHeight="1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6.1" customHeight="1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6.1" customHeight="1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6.1" customHeight="1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6.1" customHeight="1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6.1" customHeight="1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6.1" customHeight="1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6.1" customHeight="1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6.1" customHeight="1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6.1" customHeight="1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>
      <c r="N47" s="74"/>
      <c r="O47" s="74"/>
      <c r="P47" s="74"/>
      <c r="Q47" s="74"/>
    </row>
    <row r="48" spans="1:17" s="73" customFormat="1" ht="30" customHeight="1">
      <c r="N48" s="74"/>
      <c r="O48" s="74"/>
      <c r="P48" s="74"/>
      <c r="Q48" s="74"/>
    </row>
    <row r="49" spans="14:17" s="73" customFormat="1" ht="30" customHeight="1">
      <c r="N49" s="74"/>
      <c r="O49" s="74"/>
      <c r="P49" s="74"/>
      <c r="Q49" s="74"/>
    </row>
    <row r="50" spans="14:17" s="73" customFormat="1" ht="30" customHeight="1">
      <c r="N50" s="74"/>
      <c r="O50" s="74"/>
      <c r="P50" s="74"/>
      <c r="Q50" s="74"/>
    </row>
    <row r="51" spans="14:17" s="73" customFormat="1" ht="30" customHeight="1">
      <c r="N51" s="74"/>
      <c r="O51" s="74"/>
      <c r="P51" s="74"/>
      <c r="Q51" s="74"/>
    </row>
    <row r="52" spans="14:17" s="73" customFormat="1" ht="30" customHeight="1">
      <c r="N52" s="74"/>
      <c r="O52" s="74"/>
      <c r="P52" s="74"/>
      <c r="Q52" s="74"/>
    </row>
    <row r="53" spans="14:17" s="73" customFormat="1" ht="30" customHeight="1">
      <c r="N53" s="74"/>
      <c r="O53" s="74"/>
      <c r="P53" s="74"/>
      <c r="Q53" s="74"/>
    </row>
    <row r="54" spans="14:17" s="73" customFormat="1" ht="30" customHeight="1">
      <c r="N54" s="74"/>
      <c r="O54" s="74"/>
      <c r="P54" s="74"/>
      <c r="Q54" s="74"/>
    </row>
    <row r="55" spans="14:17" s="73" customFormat="1" ht="30" customHeight="1">
      <c r="N55" s="74"/>
      <c r="O55" s="74"/>
      <c r="P55" s="74"/>
      <c r="Q55" s="74"/>
    </row>
    <row r="56" spans="14:17" s="73" customFormat="1" ht="30" customHeight="1">
      <c r="N56" s="74"/>
      <c r="O56" s="74"/>
      <c r="P56" s="74"/>
      <c r="Q56" s="74"/>
    </row>
    <row r="57" spans="14:17" s="73" customFormat="1" ht="30" customHeight="1">
      <c r="N57" s="74"/>
      <c r="O57" s="74"/>
      <c r="P57" s="74"/>
      <c r="Q57" s="74"/>
    </row>
    <row r="58" spans="14:17" s="73" customFormat="1" ht="30" customHeight="1">
      <c r="N58" s="74"/>
      <c r="O58" s="74"/>
      <c r="P58" s="74"/>
      <c r="Q58" s="74"/>
    </row>
    <row r="59" spans="14:17" s="73" customFormat="1" ht="30" customHeight="1">
      <c r="N59" s="74"/>
      <c r="O59" s="74"/>
      <c r="P59" s="74"/>
      <c r="Q59" s="74"/>
    </row>
    <row r="60" spans="14:17" s="73" customFormat="1" ht="30" customHeight="1">
      <c r="N60" s="74"/>
      <c r="O60" s="74"/>
      <c r="P60" s="74"/>
      <c r="Q60" s="74"/>
    </row>
    <row r="61" spans="14:17" s="73" customFormat="1" ht="30" customHeight="1">
      <c r="N61" s="74"/>
      <c r="O61" s="74"/>
      <c r="P61" s="74"/>
      <c r="Q61" s="74"/>
    </row>
    <row r="62" spans="14:17" s="73" customFormat="1" ht="30" customHeight="1">
      <c r="N62" s="74"/>
      <c r="O62" s="74"/>
      <c r="P62" s="74"/>
      <c r="Q62" s="74"/>
    </row>
    <row r="63" spans="14:17" s="73" customFormat="1" ht="30" customHeight="1">
      <c r="N63" s="74"/>
      <c r="O63" s="74"/>
      <c r="P63" s="74"/>
      <c r="Q63" s="74"/>
    </row>
    <row r="64" spans="14:17" s="73" customFormat="1" ht="30" customHeight="1">
      <c r="N64" s="74"/>
      <c r="O64" s="74"/>
      <c r="P64" s="74"/>
      <c r="Q64" s="74"/>
    </row>
    <row r="65" spans="14:17" s="73" customFormat="1" ht="30" customHeight="1">
      <c r="N65" s="74"/>
      <c r="O65" s="74"/>
      <c r="P65" s="74"/>
      <c r="Q65" s="74"/>
    </row>
    <row r="66" spans="14:17" s="73" customFormat="1" ht="30" customHeight="1"/>
    <row r="67" spans="14:17" s="73" customFormat="1" ht="30" customHeight="1"/>
    <row r="68" spans="14:17" s="73" customFormat="1" ht="30" customHeight="1"/>
    <row r="69" spans="14:17" s="73" customFormat="1" ht="30" customHeight="1"/>
    <row r="70" spans="14:17" s="73" customFormat="1" ht="30" customHeight="1"/>
    <row r="71" spans="14:17" s="73" customFormat="1" ht="30" customHeight="1"/>
    <row r="72" spans="14:17" s="73" customFormat="1" ht="30" customHeight="1"/>
    <row r="73" spans="14:17" s="73" customFormat="1" ht="30" customHeight="1"/>
    <row r="74" spans="14:17" s="73" customFormat="1" ht="30" customHeight="1"/>
    <row r="75" spans="14:17" s="73" customFormat="1" ht="30" customHeight="1"/>
    <row r="76" spans="14:17" s="73" customFormat="1" ht="30" customHeight="1"/>
    <row r="77" spans="14:17" s="73" customFormat="1" ht="30" customHeight="1"/>
    <row r="78" spans="14:17" s="73" customFormat="1" ht="30" customHeight="1"/>
    <row r="79" spans="14:17" s="73" customFormat="1" ht="30" customHeight="1"/>
    <row r="80" spans="14:17" s="73" customFormat="1" ht="30" customHeight="1"/>
    <row r="81" s="73" customFormat="1" ht="30" customHeight="1"/>
    <row r="82" s="73" customFormat="1" ht="30" customHeight="1"/>
    <row r="83" s="73" customFormat="1" ht="30" customHeight="1"/>
    <row r="84" s="73" customFormat="1" ht="30" customHeight="1"/>
    <row r="85" s="73" customFormat="1" ht="30" customHeight="1"/>
    <row r="86" s="73" customFormat="1" ht="30" customHeight="1"/>
    <row r="87" s="73" customFormat="1" ht="30" customHeight="1"/>
    <row r="88" s="73" customFormat="1" ht="30" customHeight="1"/>
    <row r="89" s="73" customFormat="1" ht="30" customHeight="1"/>
    <row r="90" s="73" customFormat="1" ht="30" customHeight="1"/>
    <row r="91" s="73" customFormat="1" ht="30" customHeight="1"/>
    <row r="92" s="73" customFormat="1" ht="30" customHeight="1"/>
    <row r="93" s="73" customFormat="1" ht="30" customHeight="1"/>
    <row r="94" s="73" customFormat="1" ht="30" customHeight="1"/>
    <row r="95" s="73" customFormat="1" ht="30" customHeight="1"/>
    <row r="96" s="73" customFormat="1" ht="30" customHeight="1"/>
    <row r="97" s="73" customFormat="1" ht="30" customHeight="1"/>
    <row r="98" s="73" customFormat="1" ht="30" customHeight="1"/>
    <row r="99" s="73" customFormat="1" ht="30" customHeight="1"/>
    <row r="100" s="73" customFormat="1" ht="30" customHeight="1"/>
    <row r="101" s="73" customFormat="1" ht="30" customHeight="1"/>
    <row r="102" s="73" customFormat="1" ht="30" customHeight="1"/>
    <row r="103" s="73" customFormat="1" ht="30" customHeight="1"/>
    <row r="104" s="73" customFormat="1" ht="30" customHeight="1"/>
    <row r="105" s="73" customFormat="1" ht="30" customHeight="1"/>
    <row r="106" s="73" customFormat="1" ht="30" customHeight="1"/>
    <row r="107" s="73" customFormat="1" ht="30" customHeight="1"/>
    <row r="108" s="73" customFormat="1" ht="30" customHeight="1"/>
    <row r="109" s="73" customFormat="1" ht="30" customHeight="1"/>
    <row r="110" s="73" customFormat="1" ht="30" customHeight="1"/>
    <row r="111" s="73" customFormat="1" ht="30" customHeight="1"/>
    <row r="112" s="73" customFormat="1" ht="30" customHeight="1"/>
    <row r="113" s="73" customFormat="1" ht="30" customHeight="1"/>
    <row r="114" s="73" customFormat="1" ht="30" customHeight="1"/>
    <row r="115" s="73" customFormat="1" ht="30" customHeight="1"/>
    <row r="116" s="73" customFormat="1" ht="30" customHeight="1"/>
    <row r="117" s="73" customFormat="1" ht="30" customHeight="1"/>
    <row r="118" s="73" customFormat="1" ht="30" customHeight="1"/>
    <row r="119" s="73" customFormat="1" ht="30" customHeight="1"/>
    <row r="120" s="73" customFormat="1" ht="30" customHeight="1"/>
    <row r="121" s="73" customFormat="1" ht="30" customHeight="1"/>
    <row r="122" s="73" customFormat="1" ht="30" customHeight="1"/>
    <row r="123" s="73" customFormat="1" ht="30" customHeight="1"/>
    <row r="124" s="73" customFormat="1" ht="30" customHeight="1"/>
    <row r="125" s="73" customFormat="1" ht="30" customHeight="1"/>
    <row r="126" s="73" customFormat="1" ht="30" customHeight="1"/>
    <row r="127" s="73" customFormat="1" ht="30" customHeight="1"/>
    <row r="128" s="73" customFormat="1" ht="30" customHeight="1"/>
    <row r="129" s="73" customFormat="1" ht="30" customHeight="1"/>
    <row r="130" s="73" customFormat="1" ht="30" customHeight="1"/>
    <row r="131" s="73" customFormat="1" ht="23.25"/>
    <row r="132" s="73" customFormat="1" ht="23.25"/>
    <row r="133" s="73" customFormat="1" ht="23.25"/>
    <row r="134" s="73" customFormat="1" ht="23.25"/>
    <row r="135" s="73" customFormat="1" ht="23.25"/>
    <row r="136" s="73" customFormat="1" ht="23.25"/>
    <row r="137" s="73" customFormat="1" ht="23.25"/>
    <row r="138" s="73" customFormat="1" ht="23.25"/>
    <row r="139" s="73" customFormat="1" ht="23.25"/>
    <row r="140" s="73" customFormat="1" ht="23.25"/>
    <row r="141" s="73" customFormat="1" ht="23.25"/>
    <row r="142" s="73" customFormat="1" ht="23.25"/>
    <row r="143" s="73" customFormat="1" ht="23.25"/>
    <row r="144" s="73" customFormat="1" ht="23.25"/>
    <row r="145" s="73" customFormat="1" ht="23.25"/>
    <row r="146" s="73" customFormat="1" ht="23.25"/>
    <row r="147" s="73" customFormat="1" ht="23.25"/>
    <row r="148" s="73" customFormat="1" ht="23.25"/>
    <row r="149" s="73" customFormat="1" ht="23.25"/>
    <row r="150" s="73" customFormat="1" ht="23.25"/>
    <row r="151" s="73" customFormat="1" ht="23.25"/>
    <row r="152" s="73" customFormat="1" ht="23.25"/>
    <row r="153" s="73" customFormat="1" ht="23.25"/>
    <row r="154" s="73" customFormat="1" ht="23.25"/>
    <row r="155" s="73" customFormat="1" ht="23.25"/>
    <row r="156" s="73" customFormat="1" ht="23.25"/>
    <row r="157" s="73" customFormat="1" ht="23.25"/>
    <row r="158" s="73" customFormat="1" ht="23.25"/>
    <row r="159" s="73" customFormat="1" ht="23.25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2026-07-30T20:48:41Z</dcterms:modified>
</cp:coreProperties>
</file>